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3\6 Junio\"/>
    </mc:Choice>
  </mc:AlternateContent>
  <xr:revisionPtr revIDLastSave="0" documentId="13_ncr:1_{5D48EECB-1600-445C-9823-8A2A24D908E8}" xr6:coauthVersionLast="47" xr6:coauthVersionMax="47" xr10:uidLastSave="{00000000-0000-0000-0000-000000000000}"/>
  <bookViews>
    <workbookView xWindow="168" yWindow="0" windowWidth="12924" windowHeight="12360" tabRatio="498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6" l="1"/>
  <c r="I57" i="1" l="1"/>
  <c r="F57" i="1"/>
  <c r="H57" i="1"/>
  <c r="E57" i="1"/>
  <c r="F41" i="1"/>
  <c r="F42" i="1"/>
  <c r="F43" i="1"/>
  <c r="F44" i="1"/>
  <c r="D56" i="6" l="1"/>
  <c r="F47" i="1" l="1"/>
  <c r="F46" i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H32" i="1" s="1"/>
  <c r="I29" i="1"/>
  <c r="G30" i="1"/>
  <c r="J30" i="1"/>
  <c r="G31" i="1"/>
  <c r="J31" i="1"/>
  <c r="F32" i="1" l="1"/>
  <c r="E32" i="1"/>
  <c r="G29" i="1"/>
  <c r="J29" i="1"/>
  <c r="J25" i="1"/>
  <c r="G25" i="1"/>
  <c r="I32" i="1"/>
  <c r="J32" i="1" s="1"/>
  <c r="G3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29" i="2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E29" i="2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T13" i="1" l="1"/>
  <c r="T14" i="1"/>
  <c r="T15" i="1"/>
  <c r="U64" i="1"/>
  <c r="W59" i="1" s="1"/>
  <c r="T64" i="1"/>
  <c r="V59" i="1" s="1"/>
  <c r="F36" i="2"/>
  <c r="F35" i="2"/>
  <c r="F34" i="2"/>
  <c r="F33" i="2"/>
  <c r="F30" i="2"/>
  <c r="F29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17" i="1" s="1"/>
  <c r="E32" i="2"/>
  <c r="D17" i="1" l="1"/>
  <c r="G12" i="1"/>
  <c r="G13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<sst xmlns="http://schemas.openxmlformats.org/spreadsheetml/2006/main" count="315" uniqueCount="135">
  <si>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</si>
  <si>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</si>
  <si>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</si>
  <si>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</si>
  <si>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</si>
  <si>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</si>
  <si>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</si>
  <si>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</si>
  <si>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</si>
  <si>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</si>
  <si>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</si>
  <si>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</si>
  <si>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</si>
  <si>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</si>
  <si>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</si>
  <si>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</si>
  <si>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</si>
  <si>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</si>
  <si>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</si>
  <si>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</si>
  <si>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</si>
  <si>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</si>
  <si>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</si>
  <si>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</si>
  <si>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</si>
  <si>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</si>
  <si>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</si>
  <si>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</si>
  <si>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</si>
  <si>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</si>
  <si>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</si>
  <si>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</si>
  <si>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</si>
  <si>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</si>
  <si>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</si>
  <si>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</si>
  <si>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</si>
  <si>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</si>
  <si>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</si>
  <si>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</si>
  <si>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</si>
  <si>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</si>
  <si>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</si>
  <si>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</si>
  <si>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</si>
  <si>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</si>
  <si>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</si>
  <si>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</si>
  <si>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</si>
  <si>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</si>
  <si>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</si>
  <si>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</si>
  <si>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</si>
  <si>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</si>
  <si>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</si>
  <si>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</si>
  <si>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</si>
  <si>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</si>
  <si>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</si>
  <si>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</si>
  <si>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</si>
  <si>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</si>
  <si>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</si>
  <si>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</si>
  <si>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</si>
  <si>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</si>
  <si>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</si>
  <si>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</si>
  <si>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</si>
  <si>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</si>
  <si>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</si>
  <si>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</si>
  <si>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</si>
  <si>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</si>
  <si>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</si>
  <si>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</si>
  <si>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</si>
  <si>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</si>
  <si>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</si>
  <si>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</si>
  <si>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</si>
  <si>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</si>
  <si>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</si>
  <si>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</si>
  <si>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</si>
  <si>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</si>
  <si>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</si>
  <si>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</si>
  <si>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</si>
  <si>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</si>
  <si>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</si>
  <si>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</si>
  <si>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</si>
  <si>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</si>
  <si>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</si>
  <si>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</si>
  <si>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</si>
  <si>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</si>
  <si>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</si>
  <si>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</si>
  <si>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</si>
  <si>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</si>
  <si>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</si>
  <si>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</si>
  <si>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</si>
  <si>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</si>
  <si>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</si>
  <si>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</si>
  <si>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</si>
  <si>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</si>
  <si>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</si>
  <si>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</si>
  <si>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</si>
  <si>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</si>
  <si>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</si>
  <si>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</si>
  <si>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</si>
  <si>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</si>
  <si>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</si>
  <si>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</si>
  <si>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</si>
  <si>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</si>
  <si>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</si>
  <si>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</si>
  <si>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</si>
  <si>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</si>
  <si>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</si>
  <si>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</si>
  <si>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MAYO 2023</t>
  </si>
  <si>
    <t>Mayo</t>
  </si>
  <si>
    <t>Enero - Mayo</t>
  </si>
  <si>
    <t>Grafico N° 11: Generación de energía eléctrica por Región, al mes de mayo 2023</t>
  </si>
  <si>
    <t>Cuadro N° 8: Producción de energía eléctrica nacional por zona del país, al mes de mayo</t>
  </si>
  <si>
    <t>3.2 Producción de energía eléctrica (GWh) por origen y zona al mes de mayo 2023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</si>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</sst>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  <numFmt numFmtId="183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3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178" fontId="96" fillId="68" borderId="32" xfId="33743" applyNumberFormat="1" applyFont="1" applyFill="1" applyBorder="1" applyAlignment="1">
      <alignment horizont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0" fillId="68" borderId="61" xfId="0" quotePrefix="1" applyNumberFormat="1" applyFill="1" applyBorder="1" applyAlignment="1">
      <alignment horizontal="center" vertical="center"/>
    </xf>
    <xf numFmtId="3" fontId="0" fillId="68" borderId="27" xfId="0" applyNumberFormat="1" applyFill="1" applyBorder="1" applyAlignment="1">
      <alignment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178" fontId="96" fillId="68" borderId="103" xfId="33743" applyNumberFormat="1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9" fontId="96" fillId="68" borderId="34" xfId="33743" applyNumberFormat="1" applyFont="1" applyFill="1" applyBorder="1" applyAlignment="1">
      <alignment horizontal="center"/>
    </xf>
    <xf numFmtId="9" fontId="96" fillId="0" borderId="32" xfId="33743" applyNumberFormat="1" applyFont="1" applyBorder="1" applyAlignment="1">
      <alignment horizontal="center"/>
    </xf>
    <xf numFmtId="9" fontId="96" fillId="68" borderId="32" xfId="33743" applyNumberFormat="1" applyFont="1" applyFill="1" applyBorder="1" applyAlignment="1">
      <alignment horizontal="center" vertical="center"/>
    </xf>
    <xf numFmtId="178" fontId="76" fillId="68" borderId="25" xfId="33743" applyNumberFormat="1" applyFont="1" applyFill="1" applyBorder="1"/>
    <xf numFmtId="178" fontId="76" fillId="0" borderId="73" xfId="33743" applyNumberFormat="1" applyFont="1" applyBorder="1"/>
    <xf numFmtId="4" fontId="99" fillId="0" borderId="86" xfId="0" applyNumberFormat="1" applyFont="1" applyBorder="1"/>
    <xf numFmtId="4" fontId="99" fillId="0" borderId="107" xfId="0" applyNumberFormat="1" applyFont="1" applyBorder="1"/>
    <xf numFmtId="183" fontId="76" fillId="0" borderId="73" xfId="33743" applyNumberFormat="1" applyFont="1" applyBorder="1"/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2745.8684023049991</c:v>
                </c:pt>
                <c:pt idx="1">
                  <c:v>1945.1901108468064</c:v>
                </c:pt>
                <c:pt idx="2">
                  <c:v>171.92559600000001</c:v>
                </c:pt>
                <c:pt idx="3">
                  <c:v>62.247676999999989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2559.6045561607498</c:v>
                </c:pt>
                <c:pt idx="1">
                  <c:v>2373.5853194438491</c:v>
                </c:pt>
                <c:pt idx="2">
                  <c:v>224.33723268000014</c:v>
                </c:pt>
                <c:pt idx="3">
                  <c:v>57.982067740000005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468544"/>
        <c:axId val="179499392"/>
      </c:barChart>
      <c:catAx>
        <c:axId val="17946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499392"/>
        <c:crosses val="autoZero"/>
        <c:auto val="1"/>
        <c:lblAlgn val="ctr"/>
        <c:lblOffset val="100"/>
        <c:noMultiLvlLbl val="0"/>
      </c:catAx>
      <c:valAx>
        <c:axId val="1794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46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2088.2186928363863</c:v>
                </c:pt>
                <c:pt idx="2" formatCode="_ * #,##0.00_ ;_ * \-#,##0.00_ ;_ * &quot;-&quot;??_ ;_ @_ ">
                  <c:v>6.4599999999999996E-3</c:v>
                </c:pt>
                <c:pt idx="3">
                  <c:v>2053.5686048241482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134.62040612249993</c:v>
                </c:pt>
                <c:pt idx="1">
                  <c:v>330.60761273552231</c:v>
                </c:pt>
                <c:pt idx="2">
                  <c:v>57.999212240000006</c:v>
                </c:pt>
                <c:pt idx="3">
                  <c:v>115.0946431103506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32.847782176139937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4141.7937576605345</c:v>
                </c:pt>
                <c:pt idx="1">
                  <c:v>638.32187420837283</c:v>
                </c:pt>
                <c:pt idx="2">
                  <c:v>402.54576197955225</c:v>
                </c:pt>
                <c:pt idx="3">
                  <c:v>32.847782176139937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557696"/>
        <c:axId val="180566272"/>
      </c:barChart>
      <c:catAx>
        <c:axId val="1805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0566272"/>
        <c:crosses val="autoZero"/>
        <c:auto val="1"/>
        <c:lblAlgn val="ctr"/>
        <c:lblOffset val="100"/>
        <c:noMultiLvlLbl val="0"/>
      </c:catAx>
      <c:valAx>
        <c:axId val="1805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055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CALLAO</c:v>
                </c:pt>
                <c:pt idx="5">
                  <c:v>CUSCO</c:v>
                </c:pt>
                <c:pt idx="6">
                  <c:v>ICA</c:v>
                </c:pt>
                <c:pt idx="7">
                  <c:v>ANCASH</c:v>
                </c:pt>
                <c:pt idx="8">
                  <c:v>CAJAMARCA</c:v>
                </c:pt>
                <c:pt idx="9">
                  <c:v>PIURA</c:v>
                </c:pt>
                <c:pt idx="10">
                  <c:v>PUNO</c:v>
                </c:pt>
                <c:pt idx="11">
                  <c:v>LA LIBERTAD</c:v>
                </c:pt>
                <c:pt idx="12">
                  <c:v>AREQUIPA</c:v>
                </c:pt>
                <c:pt idx="13">
                  <c:v>PASCO</c:v>
                </c:pt>
                <c:pt idx="14">
                  <c:v>MOQUEGUA</c:v>
                </c:pt>
                <c:pt idx="15">
                  <c:v>UCAYALI</c:v>
                </c:pt>
                <c:pt idx="16">
                  <c:v>LORETO</c:v>
                </c:pt>
                <c:pt idx="17">
                  <c:v>TACNA</c:v>
                </c:pt>
                <c:pt idx="18">
                  <c:v>SAN MARTÍN</c:v>
                </c:pt>
                <c:pt idx="19">
                  <c:v>LAMBAYEQUE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2395.2455420041661</c:v>
                </c:pt>
                <c:pt idx="1">
                  <c:v>749.663808870514</c:v>
                </c:pt>
                <c:pt idx="2">
                  <c:v>292.41684813393374</c:v>
                </c:pt>
                <c:pt idx="3">
                  <c:v>221.13503062000018</c:v>
                </c:pt>
                <c:pt idx="4">
                  <c:v>212.43062010816243</c:v>
                </c:pt>
                <c:pt idx="5">
                  <c:v>198.87328368176637</c:v>
                </c:pt>
                <c:pt idx="6">
                  <c:v>177.758541025</c:v>
                </c:pt>
                <c:pt idx="7">
                  <c:v>162.37965575625793</c:v>
                </c:pt>
                <c:pt idx="8">
                  <c:v>153.62663707499993</c:v>
                </c:pt>
                <c:pt idx="9">
                  <c:v>139.46351864951549</c:v>
                </c:pt>
                <c:pt idx="10">
                  <c:v>98.377931991666614</c:v>
                </c:pt>
                <c:pt idx="11">
                  <c:v>95.423867279999982</c:v>
                </c:pt>
                <c:pt idx="12">
                  <c:v>91.539090917622474</c:v>
                </c:pt>
                <c:pt idx="13">
                  <c:v>73.616030487499984</c:v>
                </c:pt>
                <c:pt idx="14">
                  <c:v>58.240033697499989</c:v>
                </c:pt>
                <c:pt idx="15">
                  <c:v>34.906221680000002</c:v>
                </c:pt>
                <c:pt idx="16">
                  <c:v>32.847782176139937</c:v>
                </c:pt>
                <c:pt idx="17">
                  <c:v>8.010631936484069</c:v>
                </c:pt>
                <c:pt idx="18">
                  <c:v>5.1812083333333332</c:v>
                </c:pt>
                <c:pt idx="19">
                  <c:v>4.8029895575385604</c:v>
                </c:pt>
                <c:pt idx="20">
                  <c:v>4.1092524999999993</c:v>
                </c:pt>
                <c:pt idx="21">
                  <c:v>2.9469930841649115</c:v>
                </c:pt>
                <c:pt idx="22">
                  <c:v>1.1005480000000001</c:v>
                </c:pt>
                <c:pt idx="23">
                  <c:v>1.0290213333333333</c:v>
                </c:pt>
                <c:pt idx="24">
                  <c:v>0.38408712500000008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78621440"/>
        <c:axId val="178623232"/>
      </c:barChart>
      <c:catAx>
        <c:axId val="1786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78623232"/>
        <c:crosses val="autoZero"/>
        <c:auto val="1"/>
        <c:lblAlgn val="ctr"/>
        <c:lblOffset val="100"/>
        <c:noMultiLvlLbl val="0"/>
      </c:catAx>
      <c:valAx>
        <c:axId val="178623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786214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159.86906549680589</c:v>
                </c:pt>
                <c:pt idx="1">
                  <c:v>167.86716491291091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4765.3627206550009</c:v>
                </c:pt>
                <c:pt idx="1">
                  <c:v>5047.6420111116886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16768"/>
        <c:axId val="179639040"/>
        <c:axId val="251853888"/>
      </c:bar3DChart>
      <c:catAx>
        <c:axId val="1796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639040"/>
        <c:crosses val="autoZero"/>
        <c:auto val="1"/>
        <c:lblAlgn val="ctr"/>
        <c:lblOffset val="100"/>
        <c:noMultiLvlLbl val="0"/>
      </c:catAx>
      <c:valAx>
        <c:axId val="1796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616768"/>
        <c:crosses val="autoZero"/>
        <c:crossBetween val="between"/>
      </c:valAx>
      <c:serAx>
        <c:axId val="251853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63904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2561.8869892499993</c:v>
                </c:pt>
                <c:pt idx="1">
                  <c:v>2356.1855321757498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1904.5030038468067</c:v>
                </c:pt>
                <c:pt idx="1">
                  <c:v>2329.0930209922944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183.98141305499999</c:v>
                </c:pt>
                <c:pt idx="1">
                  <c:v>203.41902398499982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274.86038000000002</c:v>
                </c:pt>
                <c:pt idx="1">
                  <c:v>326.81159887155428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9716864"/>
        <c:axId val="179718400"/>
        <c:axId val="0"/>
      </c:bar3DChart>
      <c:catAx>
        <c:axId val="179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718400"/>
        <c:crosses val="autoZero"/>
        <c:auto val="1"/>
        <c:lblAlgn val="ctr"/>
        <c:lblOffset val="100"/>
        <c:noMultiLvlLbl val="0"/>
      </c:catAx>
      <c:valAx>
        <c:axId val="1797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71686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Mayo</a:t>
            </a:r>
            <a:r>
              <a:rPr lang="en-US" sz="900" baseline="0"/>
              <a:t> </a:t>
            </a:r>
            <a:r>
              <a:rPr lang="en-US" sz="900"/>
              <a:t>2023 </a:t>
            </a:r>
          </a:p>
          <a:p>
            <a:pPr>
              <a:defRPr sz="900"/>
            </a:pPr>
            <a:r>
              <a:rPr lang="en-US" sz="900"/>
              <a:t>Total: 5 216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3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1.6745800036002321E-2"/>
                  <c:y val="0.154682351453056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6F-4107-818F-DC82D04D2ED0}"/>
                </c:ext>
              </c:extLst>
            </c:dLbl>
            <c:dLbl>
              <c:idx val="1"/>
              <c:layout>
                <c:manualLayout>
                  <c:x val="4.3690856618941351E-4"/>
                  <c:y val="-0.154148141120914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6F-4107-818F-DC82D04D2ED0}"/>
                </c:ext>
              </c:extLst>
            </c:dLbl>
            <c:dLbl>
              <c:idx val="2"/>
              <c:layout>
                <c:manualLayout>
                  <c:x val="2.6660606801708588E-2"/>
                  <c:y val="-0.10709504685408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1.6662879251067866E-2"/>
                  <c:y val="-5.89022757697456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1.6662879251067866E-2"/>
                  <c:y val="5.89022757697456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2641848335785095"/>
                  <c:y val="-0.103868703159093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Mcdo. Elect.</a:t>
                    </a:r>
                    <a:r>
                      <a:rPr lang="en-US" baseline="0"/>
                      <a:t>; </a:t>
                    </a:r>
                  </a:p>
                  <a:p>
                    <a:fld id="{2F401C7A-9192-4ACE-A7DB-5A21C11A337E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972BF0C5-FB7B-4F8A-B269-DF43A24A7D1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61.852867935848877</c:v>
                </c:pt>
                <c:pt idx="1">
                  <c:v>108.07259342637332</c:v>
                </c:pt>
                <c:pt idx="2">
                  <c:v>2497.751688224901</c:v>
                </c:pt>
                <c:pt idx="3">
                  <c:v>2265.5127260174759</c:v>
                </c:pt>
                <c:pt idx="4">
                  <c:v>282.31930042000016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4650.3714061518067</c:v>
                </c:pt>
                <c:pt idx="1">
                  <c:v>4888.6975771530451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713509826681E-2"/>
                  <c:y val="-1.1967494653608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274.86038000000002</c:v>
                </c:pt>
                <c:pt idx="1">
                  <c:v>326.81159887155428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79877760"/>
        <c:axId val="179879296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8.1041690470562682E-3"/>
                  <c:y val="-1.1674916068478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5.5806587777822034E-2</c:v>
                </c:pt>
                <c:pt idx="1">
                  <c:v>6.266149437026948E-2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95296"/>
        <c:axId val="179893760"/>
      </c:lineChart>
      <c:catAx>
        <c:axId val="1798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879296"/>
        <c:crosses val="autoZero"/>
        <c:auto val="1"/>
        <c:lblAlgn val="ctr"/>
        <c:lblOffset val="100"/>
        <c:noMultiLvlLbl val="1"/>
      </c:catAx>
      <c:valAx>
        <c:axId val="179879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877760"/>
        <c:crosses val="autoZero"/>
        <c:crossBetween val="between"/>
        <c:majorUnit val="1000"/>
      </c:valAx>
      <c:valAx>
        <c:axId val="17989376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895296"/>
        <c:crosses val="max"/>
        <c:crossBetween val="between"/>
      </c:valAx>
      <c:catAx>
        <c:axId val="17989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9893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2745.8684023049991</c:v>
                </c:pt>
                <c:pt idx="1">
                  <c:v>1829.4645110000004</c:v>
                </c:pt>
                <c:pt idx="2">
                  <c:v>71.793492846807567</c:v>
                </c:pt>
                <c:pt idx="4" formatCode="#,##0.00">
                  <c:v>3.2450000000000001</c:v>
                </c:pt>
                <c:pt idx="5">
                  <c:v>40.687107000000026</c:v>
                </c:pt>
                <c:pt idx="6">
                  <c:v>171.92559600000001</c:v>
                </c:pt>
                <c:pt idx="7">
                  <c:v>62.247676999999989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2559.6045561607498</c:v>
                </c:pt>
                <c:pt idx="1">
                  <c:v>2231.6938023094253</c:v>
                </c:pt>
                <c:pt idx="2">
                  <c:v>96.635286657262441</c:v>
                </c:pt>
                <c:pt idx="4" formatCode="#,##0.00">
                  <c:v>0.76393202560789486</c:v>
                </c:pt>
                <c:pt idx="5">
                  <c:v>44.49229845155412</c:v>
                </c:pt>
                <c:pt idx="6">
                  <c:v>224.33723268000014</c:v>
                </c:pt>
                <c:pt idx="7">
                  <c:v>57.982067740000005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2559.6045561607498</c:v>
                </c:pt>
                <c:pt idx="1">
                  <c:v>2231.6938023094253</c:v>
                </c:pt>
                <c:pt idx="2" formatCode="General">
                  <c:v>0</c:v>
                </c:pt>
                <c:pt idx="3">
                  <c:v>96.635286657262441</c:v>
                </c:pt>
                <c:pt idx="4">
                  <c:v>44.49229845155412</c:v>
                </c:pt>
                <c:pt idx="5">
                  <c:v>224.33723268000014</c:v>
                </c:pt>
                <c:pt idx="6">
                  <c:v>57.982067740000005</c:v>
                </c:pt>
                <c:pt idx="7">
                  <c:v>0.76393202560789486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486528"/>
        <c:axId val="180489216"/>
      </c:barChart>
      <c:catAx>
        <c:axId val="1804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0489216"/>
        <c:crosses val="autoZero"/>
        <c:auto val="1"/>
        <c:lblAlgn val="ctr"/>
        <c:lblOffset val="100"/>
        <c:noMultiLvlLbl val="0"/>
      </c:catAx>
      <c:valAx>
        <c:axId val="1804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048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89.716826557500212</c:v>
                </c:pt>
                <c:pt idx="1">
                  <c:v>140.77825058884125</c:v>
                </c:pt>
                <c:pt idx="2">
                  <c:v>0</c:v>
                </c:pt>
                <c:pt idx="3">
                  <c:v>172.05068483321079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mayo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107578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951723" y="954245"/>
          <a:ext cx="6877298" cy="2591836"/>
          <a:chOff x="936906" y="956891"/>
          <a:chExt cx="6692620" cy="2444198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936906" y="956891"/>
          <a:ext cx="6692620" cy="199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3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="80" zoomScaleNormal="100" zoomScaleSheetLayoutView="80" workbookViewId="0">
      <selection activeCell="C3" sqref="C3"/>
    </sheetView>
  </sheetViews>
  <sheetFormatPr baseColWidth="10" defaultColWidth="11.44140625" defaultRowHeight="13.2"/>
  <cols>
    <col min="1" max="1" width="5.33203125" customWidth="1"/>
    <col min="2" max="2" width="2.44140625" customWidth="1"/>
    <col min="3" max="3" width="12.6640625" customWidth="1"/>
    <col min="4" max="4" width="12" customWidth="1"/>
    <col min="5" max="6" width="9.6640625" customWidth="1"/>
    <col min="7" max="7" width="7.33203125" customWidth="1"/>
    <col min="8" max="9" width="11.6640625" customWidth="1"/>
    <col min="10" max="10" width="5.6640625" customWidth="1"/>
    <col min="11" max="11" width="7.5546875" customWidth="1"/>
    <col min="12" max="12" width="11.109375" customWidth="1"/>
    <col min="17" max="17" width="14.5546875" customWidth="1"/>
    <col min="18" max="18" width="12.44140625" customWidth="1"/>
  </cols>
  <sheetData>
    <row r="2" spans="2:20" ht="13.8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3.8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3.8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6.4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8" thickBot="1">
      <c r="C10" s="155" t="s">
        <v>63</v>
      </c>
      <c r="D10" s="156"/>
      <c r="E10" s="157"/>
      <c r="F10" s="158"/>
      <c r="G10" s="159"/>
    </row>
    <row r="11" spans="2:20" ht="13.8" thickTop="1">
      <c r="C11" s="69"/>
      <c r="D11" s="106"/>
      <c r="E11" s="107"/>
      <c r="F11" s="108"/>
      <c r="G11" s="109"/>
      <c r="Q11" s="329" t="s">
        <v>64</v>
      </c>
      <c r="R11" s="41" t="s">
        <v>41</v>
      </c>
      <c r="S11" s="54">
        <f>E12</f>
        <v>61.852867935848877</v>
      </c>
    </row>
    <row r="12" spans="2:20">
      <c r="C12" s="110" t="s">
        <v>66</v>
      </c>
      <c r="D12" s="111">
        <v>2497.751688224901</v>
      </c>
      <c r="E12" s="112">
        <v>61.852867935848877</v>
      </c>
      <c r="F12" s="113">
        <f>SUM(D12:E12)</f>
        <v>2559.6045561607498</v>
      </c>
      <c r="G12" s="309">
        <f>(F12/F$16)-0.001</f>
        <v>0.48976791350058535</v>
      </c>
      <c r="Q12" s="329"/>
      <c r="R12" s="41" t="s">
        <v>73</v>
      </c>
      <c r="S12" s="54">
        <f>E13</f>
        <v>108.07259342637332</v>
      </c>
    </row>
    <row r="13" spans="2:20">
      <c r="C13" s="110" t="s">
        <v>65</v>
      </c>
      <c r="D13" s="111">
        <v>2265.5127260174759</v>
      </c>
      <c r="E13" s="112">
        <v>108.07259342637332</v>
      </c>
      <c r="F13" s="113">
        <f>SUM(D13:E13)</f>
        <v>2373.5853194438491</v>
      </c>
      <c r="G13" s="309">
        <f>(F13/F$16)</f>
        <v>0.4551013600656838</v>
      </c>
      <c r="Q13" s="329" t="s">
        <v>88</v>
      </c>
      <c r="R13" s="41" t="s">
        <v>41</v>
      </c>
      <c r="S13" s="54">
        <f>D12</f>
        <v>2497.751688224901</v>
      </c>
      <c r="T13">
        <f>SUM(S13:S15)/SUM(S$11:S$15)</f>
        <v>0.96741919999999992</v>
      </c>
    </row>
    <row r="14" spans="2:20">
      <c r="C14" s="110" t="s">
        <v>67</v>
      </c>
      <c r="D14" s="111">
        <v>224.33723268000014</v>
      </c>
      <c r="E14" s="114"/>
      <c r="F14" s="113">
        <f>SUM(D14:E14)</f>
        <v>224.33723268000014</v>
      </c>
      <c r="G14" s="309">
        <f>(F14/F$16)</f>
        <v>4.3013486336341944E-2</v>
      </c>
      <c r="Q14" s="329"/>
      <c r="R14" s="41" t="s">
        <v>73</v>
      </c>
      <c r="S14" s="54">
        <f>D13</f>
        <v>2265.5127260174759</v>
      </c>
      <c r="T14">
        <f t="shared" ref="T14:T15" si="0">SUM(S14:S16)/SUM(S$11:S$15)</f>
        <v>0.48851069769941458</v>
      </c>
    </row>
    <row r="15" spans="2:20" ht="13.8" thickBot="1">
      <c r="C15" s="115" t="s">
        <v>5</v>
      </c>
      <c r="D15" s="116">
        <v>57.982067740000005</v>
      </c>
      <c r="E15" s="117"/>
      <c r="F15" s="118">
        <f>SUM(D15:E15)</f>
        <v>57.982067740000005</v>
      </c>
      <c r="G15" s="310">
        <f>(F15/F$16)</f>
        <v>1.111724009738882E-2</v>
      </c>
      <c r="Q15" s="329"/>
      <c r="R15" s="41" t="s">
        <v>87</v>
      </c>
      <c r="S15" s="54">
        <f>SUM(D14:D15)</f>
        <v>282.31930042000016</v>
      </c>
      <c r="T15">
        <f t="shared" si="0"/>
        <v>5.4130726433730764E-2</v>
      </c>
    </row>
    <row r="16" spans="2:20" ht="13.8" thickTop="1">
      <c r="C16" s="211" t="s">
        <v>71</v>
      </c>
      <c r="D16" s="212">
        <f>SUM(D12:D15)</f>
        <v>5045.5837146623771</v>
      </c>
      <c r="E16" s="213">
        <f>SUM(E12:E15)</f>
        <v>169.92546136222219</v>
      </c>
      <c r="F16" s="214">
        <f>SUM(F12:F15)</f>
        <v>5215.5091760245996</v>
      </c>
      <c r="G16" s="215"/>
    </row>
    <row r="17" spans="3:19">
      <c r="C17" s="216" t="s">
        <v>109</v>
      </c>
      <c r="D17" s="271">
        <f>D16/F16+0.001</f>
        <v>0.96841919999999992</v>
      </c>
      <c r="E17" s="272">
        <f>E16/F16-0.001</f>
        <v>3.1580799999999985E-2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8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36" t="s">
        <v>112</v>
      </c>
      <c r="D23" s="337"/>
      <c r="E23" s="330" t="s">
        <v>129</v>
      </c>
      <c r="F23" s="331"/>
      <c r="G23" s="122" t="s">
        <v>74</v>
      </c>
      <c r="H23" s="334" t="s">
        <v>130</v>
      </c>
      <c r="I23" s="335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1">
        <v>2022</v>
      </c>
      <c r="I24" s="126">
        <v>2023</v>
      </c>
      <c r="J24" s="127"/>
      <c r="Q24" s="41" t="s">
        <v>76</v>
      </c>
      <c r="R24" s="54">
        <f>E29</f>
        <v>159.86906549680589</v>
      </c>
      <c r="S24" s="54">
        <f>F29</f>
        <v>167.86716491291091</v>
      </c>
    </row>
    <row r="25" spans="3:19">
      <c r="C25" s="325" t="s">
        <v>0</v>
      </c>
      <c r="D25" s="326"/>
      <c r="E25" s="160">
        <f>SUM(E26:E28)</f>
        <v>4765.3627206550009</v>
      </c>
      <c r="F25" s="161">
        <f>SUM(F26:F28)</f>
        <v>5047.6420111116886</v>
      </c>
      <c r="G25" s="162">
        <f>((F25/E25)-1)</f>
        <v>5.9235635775042983E-2</v>
      </c>
      <c r="H25" s="202">
        <f>SUM(H26:H28)</f>
        <v>23573.588446947499</v>
      </c>
      <c r="I25" s="161">
        <f>SUM(I26:I28)</f>
        <v>24992.79504692732</v>
      </c>
      <c r="J25" s="162">
        <f>((I25/H25)-1)</f>
        <v>6.0203248358804418E-2</v>
      </c>
      <c r="Q25" s="41" t="s">
        <v>0</v>
      </c>
      <c r="R25" s="54">
        <f>E25</f>
        <v>4765.3627206550009</v>
      </c>
      <c r="S25" s="54">
        <f>F25</f>
        <v>5047.6420111116886</v>
      </c>
    </row>
    <row r="26" spans="3:19">
      <c r="C26" s="229" t="s">
        <v>62</v>
      </c>
      <c r="D26" s="238" t="s">
        <v>102</v>
      </c>
      <c r="E26" s="113">
        <v>4595.2137016550005</v>
      </c>
      <c r="F26" s="129">
        <v>4894.216203222506</v>
      </c>
      <c r="G26" s="130">
        <f t="shared" ref="G26:G32" si="1">((F26/E26)-1)</f>
        <v>6.5068247306935278E-2</v>
      </c>
      <c r="H26" s="203">
        <v>22751.172351947498</v>
      </c>
      <c r="I26" s="129">
        <v>24246.186345130009</v>
      </c>
      <c r="J26" s="130">
        <f t="shared" ref="J26:J32" si="2">((I26/H26)-1)</f>
        <v>6.5711514556503259E-2</v>
      </c>
    </row>
    <row r="27" spans="3:19">
      <c r="C27" s="230" t="s">
        <v>106</v>
      </c>
      <c r="D27" s="239" t="s">
        <v>77</v>
      </c>
      <c r="E27" s="232">
        <v>121.07765300000005</v>
      </c>
      <c r="F27" s="233">
        <v>111.73110305798505</v>
      </c>
      <c r="G27" s="241">
        <f t="shared" si="1"/>
        <v>-7.7194673917366008E-2</v>
      </c>
      <c r="H27" s="234">
        <v>589.62245200000007</v>
      </c>
      <c r="I27" s="233">
        <v>540.01977242727071</v>
      </c>
      <c r="J27" s="241">
        <f t="shared" si="2"/>
        <v>-8.4126171594173571E-2</v>
      </c>
    </row>
    <row r="28" spans="3:19">
      <c r="C28" s="231" t="s">
        <v>64</v>
      </c>
      <c r="D28" s="240" t="s">
        <v>77</v>
      </c>
      <c r="E28" s="113">
        <v>49.071365999999998</v>
      </c>
      <c r="F28" s="129">
        <v>41.694704831197292</v>
      </c>
      <c r="G28" s="130">
        <f t="shared" si="1"/>
        <v>-0.15032516455324896</v>
      </c>
      <c r="H28" s="203">
        <v>232.79364299999997</v>
      </c>
      <c r="I28" s="129">
        <v>206.58892937004271</v>
      </c>
      <c r="J28" s="130">
        <f t="shared" si="2"/>
        <v>-0.11256627669148711</v>
      </c>
    </row>
    <row r="29" spans="3:19">
      <c r="C29" s="325" t="s">
        <v>76</v>
      </c>
      <c r="D29" s="326"/>
      <c r="E29" s="160">
        <f>SUM(E30:E31)</f>
        <v>159.86906549680589</v>
      </c>
      <c r="F29" s="161">
        <f>SUM(F30:F31)</f>
        <v>167.86716491291091</v>
      </c>
      <c r="G29" s="162">
        <f t="shared" si="1"/>
        <v>5.0029062165655835E-2</v>
      </c>
      <c r="H29" s="202">
        <f>SUM(H30:H31)</f>
        <v>832.70120288402961</v>
      </c>
      <c r="I29" s="161">
        <f>SUM(I30:I31)</f>
        <v>831.06952385384341</v>
      </c>
      <c r="J29" s="162">
        <f t="shared" si="2"/>
        <v>-1.9595012286939273E-3</v>
      </c>
      <c r="Q29" s="41"/>
      <c r="R29" s="41"/>
      <c r="S29" s="41"/>
    </row>
    <row r="30" spans="3:19">
      <c r="C30" s="235" t="s">
        <v>68</v>
      </c>
      <c r="D30" s="124"/>
      <c r="E30" s="113">
        <v>40.990451999999998</v>
      </c>
      <c r="F30" s="129">
        <v>39.636408381885992</v>
      </c>
      <c r="G30" s="130">
        <f t="shared" si="1"/>
        <v>-3.3033146795112267E-2</v>
      </c>
      <c r="H30" s="203">
        <v>204.52430799999999</v>
      </c>
      <c r="I30" s="129">
        <v>197.15033410188599</v>
      </c>
      <c r="J30" s="130">
        <f t="shared" si="2"/>
        <v>-3.6054266459681683E-2</v>
      </c>
    </row>
    <row r="31" spans="3:19" ht="13.8" thickBot="1">
      <c r="C31" s="236" t="s">
        <v>64</v>
      </c>
      <c r="D31" s="237"/>
      <c r="E31" s="118">
        <v>118.8786134968059</v>
      </c>
      <c r="F31" s="132">
        <v>128.23075653102492</v>
      </c>
      <c r="G31" s="133">
        <f t="shared" si="1"/>
        <v>7.8669684639872672E-2</v>
      </c>
      <c r="H31" s="204">
        <v>628.17689488402959</v>
      </c>
      <c r="I31" s="132">
        <v>633.91918975195745</v>
      </c>
      <c r="J31" s="133">
        <f t="shared" si="2"/>
        <v>9.141206743982444E-3</v>
      </c>
    </row>
    <row r="32" spans="3:19" ht="14.4" thickTop="1" thickBot="1">
      <c r="C32" s="320" t="s">
        <v>108</v>
      </c>
      <c r="D32" s="321"/>
      <c r="E32" s="163">
        <f>SUM(E25,E29)</f>
        <v>4925.2317861518068</v>
      </c>
      <c r="F32" s="164">
        <f>SUM(F25,F29)</f>
        <v>5215.5091760245996</v>
      </c>
      <c r="G32" s="165">
        <f t="shared" si="1"/>
        <v>5.8936797794767903E-2</v>
      </c>
      <c r="H32" s="205">
        <f>SUM(H25,H29)</f>
        <v>24406.289649831528</v>
      </c>
      <c r="I32" s="164">
        <f>SUM(I25,I29)</f>
        <v>25823.864570781163</v>
      </c>
      <c r="J32" s="165">
        <f t="shared" si="2"/>
        <v>5.8082360788479059E-2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122</v>
      </c>
    </row>
    <row r="36" spans="3:19">
      <c r="C36" s="5"/>
    </row>
    <row r="37" spans="3:19" ht="13.8" thickBot="1">
      <c r="C37" s="5"/>
    </row>
    <row r="38" spans="3:19" ht="12.75" customHeight="1">
      <c r="C38" s="120"/>
      <c r="D38" s="121"/>
      <c r="E38" s="330" t="s">
        <v>129</v>
      </c>
      <c r="F38" s="331"/>
      <c r="G38" s="332" t="s">
        <v>74</v>
      </c>
      <c r="H38" s="334" t="s">
        <v>130</v>
      </c>
      <c r="I38" s="335"/>
      <c r="J38" s="332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33"/>
      <c r="H39" s="201">
        <v>2022</v>
      </c>
      <c r="I39" s="126">
        <v>2023</v>
      </c>
      <c r="J39" s="333"/>
      <c r="Q39" s="41" t="s">
        <v>66</v>
      </c>
      <c r="R39" s="54">
        <f>SUM(E41,E46)</f>
        <v>2745.8684023049991</v>
      </c>
      <c r="S39" s="54">
        <f>SUM(F41,F46)</f>
        <v>2559.6045561607498</v>
      </c>
    </row>
    <row r="40" spans="3:19">
      <c r="C40" s="325" t="s">
        <v>68</v>
      </c>
      <c r="D40" s="326"/>
      <c r="E40" s="160">
        <f>SUM(E41:E44)</f>
        <v>4757.2818066549999</v>
      </c>
      <c r="F40" s="161">
        <f>SUM(F41:F44)</f>
        <v>5045.5837146623771</v>
      </c>
      <c r="G40" s="162">
        <f>((F40/E40)-1)</f>
        <v>6.0602234579433478E-2</v>
      </c>
      <c r="H40" s="202">
        <f>SUM(H41:H44)</f>
        <v>23545.319111947494</v>
      </c>
      <c r="I40" s="161">
        <f>SUM(I41:I44)</f>
        <v>24983.356451659158</v>
      </c>
      <c r="J40" s="162">
        <f>((I40/H40)-1)</f>
        <v>6.1075296235079124E-2</v>
      </c>
      <c r="Q40" s="41" t="s">
        <v>65</v>
      </c>
      <c r="R40" s="54">
        <f>SUM(E42,E47)</f>
        <v>1945.1901108468064</v>
      </c>
      <c r="S40" s="54">
        <f>SUM(F42,F47)</f>
        <v>2373.5853194438491</v>
      </c>
    </row>
    <row r="41" spans="3:19">
      <c r="C41" s="128" t="s">
        <v>66</v>
      </c>
      <c r="D41" s="69"/>
      <c r="E41" s="113">
        <v>2686.8602106549993</v>
      </c>
      <c r="F41" s="129">
        <f>D12</f>
        <v>2497.751688224901</v>
      </c>
      <c r="G41" s="130">
        <f t="shared" ref="G41:G48" si="3">((F41/E41)-1)</f>
        <v>-7.0382717225172531E-2</v>
      </c>
      <c r="H41" s="203">
        <v>15027.516015947494</v>
      </c>
      <c r="I41" s="129">
        <v>14199.151040669185</v>
      </c>
      <c r="J41" s="130">
        <f t="shared" ref="J41:J48" si="4">((I41/H41)-1)</f>
        <v>-5.5123213603581078E-2</v>
      </c>
      <c r="Q41" s="41" t="s">
        <v>67</v>
      </c>
      <c r="R41" s="54">
        <f>E43</f>
        <v>171.92559600000001</v>
      </c>
      <c r="S41" s="54">
        <f>F43</f>
        <v>224.33723268000014</v>
      </c>
    </row>
    <row r="42" spans="3:19">
      <c r="C42" s="128" t="s">
        <v>65</v>
      </c>
      <c r="D42" s="69"/>
      <c r="E42" s="113">
        <v>1836.2483230000005</v>
      </c>
      <c r="F42" s="129">
        <f>D13</f>
        <v>2265.5127260174759</v>
      </c>
      <c r="G42" s="130">
        <f t="shared" si="3"/>
        <v>0.2337725228340346</v>
      </c>
      <c r="H42" s="203">
        <v>7424.5315410000003</v>
      </c>
      <c r="I42" s="129">
        <v>9685.7499862949735</v>
      </c>
      <c r="J42" s="130">
        <f t="shared" si="4"/>
        <v>0.30456042011647422</v>
      </c>
      <c r="Q42" s="41" t="s">
        <v>5</v>
      </c>
      <c r="R42" s="54">
        <f>E44</f>
        <v>62.247676999999989</v>
      </c>
      <c r="S42" s="54">
        <f>F44</f>
        <v>57.982067740000005</v>
      </c>
    </row>
    <row r="43" spans="3:19">
      <c r="C43" s="128" t="s">
        <v>67</v>
      </c>
      <c r="D43" s="69"/>
      <c r="E43" s="113">
        <v>171.92559600000001</v>
      </c>
      <c r="F43" s="129">
        <f>D14</f>
        <v>224.33723268000014</v>
      </c>
      <c r="G43" s="130">
        <f t="shared" si="3"/>
        <v>0.3048506906441093</v>
      </c>
      <c r="H43" s="203">
        <v>768.27527100000009</v>
      </c>
      <c r="I43" s="129">
        <v>790.47206710750015</v>
      </c>
      <c r="J43" s="130">
        <f t="shared" si="4"/>
        <v>2.8891722726684055E-2</v>
      </c>
    </row>
    <row r="44" spans="3:19">
      <c r="C44" s="128" t="s">
        <v>5</v>
      </c>
      <c r="D44" s="69"/>
      <c r="E44" s="113">
        <v>62.247676999999989</v>
      </c>
      <c r="F44" s="129">
        <f>D15</f>
        <v>57.982067740000005</v>
      </c>
      <c r="G44" s="356">
        <f t="shared" si="3"/>
        <v>-6.852640075227201E-2</v>
      </c>
      <c r="H44" s="203">
        <v>324.99628399999995</v>
      </c>
      <c r="I44" s="129">
        <v>307.9833575875</v>
      </c>
      <c r="J44" s="130">
        <f t="shared" si="4"/>
        <v>-5.2348064424330376E-2</v>
      </c>
      <c r="Q44" s="41"/>
      <c r="R44" s="41"/>
      <c r="S44" s="41"/>
    </row>
    <row r="45" spans="3:19">
      <c r="C45" s="325" t="s">
        <v>64</v>
      </c>
      <c r="D45" s="326"/>
      <c r="E45" s="160">
        <f>SUM(E46:E47)</f>
        <v>167.94997949680592</v>
      </c>
      <c r="F45" s="161">
        <f>SUM(F46:F47)</f>
        <v>169.92546136222219</v>
      </c>
      <c r="G45" s="162">
        <f t="shared" si="3"/>
        <v>1.1762322754280685E-2</v>
      </c>
      <c r="H45" s="202">
        <f>SUM(H46:H47)</f>
        <v>860.97053788402957</v>
      </c>
      <c r="I45" s="161">
        <f>SUM(I46:I47)</f>
        <v>840.50811912200004</v>
      </c>
      <c r="J45" s="162">
        <f t="shared" si="4"/>
        <v>-2.3766688709603412E-2</v>
      </c>
    </row>
    <row r="46" spans="3:19">
      <c r="C46" s="128" t="s">
        <v>66</v>
      </c>
      <c r="D46" s="69"/>
      <c r="E46" s="113">
        <v>59.008191649999993</v>
      </c>
      <c r="F46" s="129">
        <f>E12</f>
        <v>61.852867935848877</v>
      </c>
      <c r="G46" s="130">
        <f t="shared" si="3"/>
        <v>4.8208159008188867E-2</v>
      </c>
      <c r="H46" s="203">
        <v>292.29256565000003</v>
      </c>
      <c r="I46" s="129">
        <v>287.58830816595673</v>
      </c>
      <c r="J46" s="130">
        <f t="shared" si="4"/>
        <v>-1.6094345313169223E-2</v>
      </c>
    </row>
    <row r="47" spans="3:19" ht="13.8" thickBot="1">
      <c r="C47" s="131" t="s">
        <v>65</v>
      </c>
      <c r="D47" s="69"/>
      <c r="E47" s="118">
        <v>108.94178784680592</v>
      </c>
      <c r="F47" s="132">
        <f>E13</f>
        <v>108.07259342637332</v>
      </c>
      <c r="G47" s="133">
        <f t="shared" si="3"/>
        <v>-7.9785217189097812E-3</v>
      </c>
      <c r="H47" s="204">
        <v>568.67797223402954</v>
      </c>
      <c r="I47" s="132">
        <v>552.91981095604331</v>
      </c>
      <c r="J47" s="355">
        <f t="shared" si="4"/>
        <v>-2.7710166469224973E-2</v>
      </c>
    </row>
    <row r="48" spans="3:19" ht="14.4" thickTop="1" thickBot="1">
      <c r="C48" s="320" t="s">
        <v>108</v>
      </c>
      <c r="D48" s="321"/>
      <c r="E48" s="163">
        <f>SUM(E40,E45)</f>
        <v>4925.2317861518059</v>
      </c>
      <c r="F48" s="164">
        <f>SUM(F40,F45)</f>
        <v>5215.5091760245996</v>
      </c>
      <c r="G48" s="165">
        <f t="shared" si="3"/>
        <v>5.8936797794768125E-2</v>
      </c>
      <c r="H48" s="205">
        <f>SUM(H40,H45)</f>
        <v>24406.289649831524</v>
      </c>
      <c r="I48" s="164">
        <f>SUM(I40,I45)</f>
        <v>25823.864570781159</v>
      </c>
      <c r="J48" s="165">
        <f t="shared" si="4"/>
        <v>5.8082360788479059E-2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8" thickBot="1">
      <c r="C53" s="5"/>
      <c r="L53" s="36"/>
      <c r="M53" s="36"/>
    </row>
    <row r="54" spans="3:23" ht="12.75" customHeight="1">
      <c r="C54" s="120"/>
      <c r="D54" s="121"/>
      <c r="E54" s="330" t="s">
        <v>129</v>
      </c>
      <c r="F54" s="331"/>
      <c r="G54" s="332" t="s">
        <v>74</v>
      </c>
      <c r="H54" s="334" t="s">
        <v>130</v>
      </c>
      <c r="I54" s="335"/>
      <c r="J54" s="332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33"/>
      <c r="H55" s="201">
        <v>2022</v>
      </c>
      <c r="I55" s="126">
        <v>2023</v>
      </c>
      <c r="J55" s="333"/>
      <c r="L55" s="36"/>
      <c r="M55" s="36"/>
    </row>
    <row r="56" spans="3:23">
      <c r="C56" s="325" t="s">
        <v>68</v>
      </c>
      <c r="D56" s="326"/>
      <c r="E56" s="160">
        <f>SUM(E57:E60)</f>
        <v>4757.2818066549999</v>
      </c>
      <c r="F56" s="161">
        <f>SUM(F57:F60)</f>
        <v>5045.5837146623762</v>
      </c>
      <c r="G56" s="162">
        <f>((F56/E56)-1)</f>
        <v>6.0602234579433256E-2</v>
      </c>
      <c r="H56" s="202">
        <f>SUM(H57:H60)</f>
        <v>23545.319111947494</v>
      </c>
      <c r="I56" s="161">
        <f>SUM(I57:I60)</f>
        <v>24983.356451659158</v>
      </c>
      <c r="J56" s="162">
        <f>((I56/H56)-1)</f>
        <v>6.1075296235079124E-2</v>
      </c>
    </row>
    <row r="57" spans="3:23" ht="26.4">
      <c r="C57" s="323" t="s">
        <v>78</v>
      </c>
      <c r="D57" s="242" t="s">
        <v>79</v>
      </c>
      <c r="E57" s="276">
        <f>SUM(E43:E44)+24.620384</f>
        <v>258.793657</v>
      </c>
      <c r="F57" s="277">
        <f>SUM(F43:F44)+25.0392316348069</f>
        <v>307.35853205480709</v>
      </c>
      <c r="G57" s="140">
        <f t="shared" ref="G57:G65" si="5">((F57/E57)-1)</f>
        <v>0.18765867609655928</v>
      </c>
      <c r="H57" s="219">
        <f>SUM(H43:H44)+111.179008</f>
        <v>1204.4505630000001</v>
      </c>
      <c r="I57" s="277">
        <f>SUM(I43:I44)+106.847985994807</f>
        <v>1205.3034106898072</v>
      </c>
      <c r="J57" s="140">
        <f t="shared" ref="J57:J65" si="6">((I57/H57)-1)</f>
        <v>7.0808027826640974E-4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8">
      <c r="C58" s="324"/>
      <c r="D58" s="243" t="s">
        <v>110</v>
      </c>
      <c r="E58" s="232">
        <v>183.98141305499999</v>
      </c>
      <c r="F58" s="280">
        <v>203.41902398499982</v>
      </c>
      <c r="G58" s="241">
        <f t="shared" si="5"/>
        <v>0.10564986216400607</v>
      </c>
      <c r="H58" s="234">
        <v>1122.1956454900007</v>
      </c>
      <c r="I58" s="233">
        <v>1126.1605978649995</v>
      </c>
      <c r="J58" s="319">
        <f t="shared" si="6"/>
        <v>3.5332095530165031E-3</v>
      </c>
      <c r="L58" s="36"/>
      <c r="M58" s="36"/>
      <c r="Q58" s="329" t="s">
        <v>80</v>
      </c>
      <c r="R58" s="41" t="s">
        <v>66</v>
      </c>
      <c r="T58" s="54">
        <f>SUM(E60,E64)</f>
        <v>2561.8869892499993</v>
      </c>
      <c r="U58" s="54">
        <f>SUM(F60,F64)</f>
        <v>2356.1855321757498</v>
      </c>
      <c r="V58" s="119">
        <f t="shared" ref="V58:W61" si="7">T58/T$64</f>
        <v>0.52015561916359254</v>
      </c>
      <c r="W58" s="119">
        <f t="shared" si="7"/>
        <v>0.45176519734774934</v>
      </c>
    </row>
    <row r="59" spans="3:23">
      <c r="C59" s="322" t="s">
        <v>80</v>
      </c>
      <c r="D59" s="244" t="s">
        <v>81</v>
      </c>
      <c r="E59" s="113">
        <f>SUM(E42:E44)-E57</f>
        <v>1811.6279390000007</v>
      </c>
      <c r="F59" s="129">
        <f>SUM(F42:F44)-F57</f>
        <v>2240.4734943826684</v>
      </c>
      <c r="G59" s="130">
        <f t="shared" si="5"/>
        <v>0.23671833832469269</v>
      </c>
      <c r="H59" s="203">
        <f>SUM(H42:H44)-H57</f>
        <v>7313.3525330000011</v>
      </c>
      <c r="I59" s="129">
        <f>SUM(I42:I44)-I57</f>
        <v>9578.9020003001679</v>
      </c>
      <c r="J59" s="130">
        <f t="shared" si="6"/>
        <v>0.30978261434510923</v>
      </c>
      <c r="Q59" s="329"/>
      <c r="R59" s="41" t="s">
        <v>65</v>
      </c>
      <c r="T59" s="54">
        <f>SUM(E59,E63)</f>
        <v>1904.5030038468067</v>
      </c>
      <c r="U59" s="54">
        <f>SUM(F59,F63)</f>
        <v>2329.0930209922944</v>
      </c>
      <c r="V59" s="119">
        <f t="shared" si="7"/>
        <v>0.38668291900528762</v>
      </c>
      <c r="W59" s="119">
        <f t="shared" si="7"/>
        <v>0.44657059212914513</v>
      </c>
    </row>
    <row r="60" spans="3:23">
      <c r="C60" s="322"/>
      <c r="D60" s="245" t="s">
        <v>41</v>
      </c>
      <c r="E60" s="113">
        <f>E41-E58</f>
        <v>2502.8787975999994</v>
      </c>
      <c r="F60" s="129">
        <f>F41-F58</f>
        <v>2294.3326642399011</v>
      </c>
      <c r="G60" s="130">
        <f t="shared" si="5"/>
        <v>-8.3322505892044152E-2</v>
      </c>
      <c r="H60" s="203">
        <f>H41-H58</f>
        <v>13905.320370457493</v>
      </c>
      <c r="I60" s="129">
        <f>I41-I58</f>
        <v>13072.990442804185</v>
      </c>
      <c r="J60" s="130">
        <f t="shared" si="6"/>
        <v>-5.9856940040132645E-2</v>
      </c>
      <c r="Q60" s="329" t="s">
        <v>78</v>
      </c>
      <c r="R60" s="41" t="s">
        <v>66</v>
      </c>
      <c r="T60" s="54">
        <f>E58</f>
        <v>183.98141305499999</v>
      </c>
      <c r="U60" s="54">
        <f>F58</f>
        <v>203.41902398499982</v>
      </c>
      <c r="V60" s="119">
        <f t="shared" si="7"/>
        <v>3.7354874053297862E-2</v>
      </c>
      <c r="W60" s="119">
        <f t="shared" si="7"/>
        <v>3.9002716152836167E-2</v>
      </c>
    </row>
    <row r="61" spans="3:23">
      <c r="C61" s="325" t="s">
        <v>64</v>
      </c>
      <c r="D61" s="326"/>
      <c r="E61" s="160">
        <f>SUM(E62:E64)</f>
        <v>167.94997949680592</v>
      </c>
      <c r="F61" s="161">
        <f>SUM(F62:F64)</f>
        <v>169.92546136222219</v>
      </c>
      <c r="G61" s="162">
        <f t="shared" si="5"/>
        <v>1.1762322754280685E-2</v>
      </c>
      <c r="H61" s="202">
        <f>SUM(H62:H64)</f>
        <v>860.97053788402957</v>
      </c>
      <c r="I61" s="161">
        <f>SUM(I62:I64)</f>
        <v>840.50811912200004</v>
      </c>
      <c r="J61" s="162">
        <f t="shared" si="6"/>
        <v>-2.3766688709603412E-2</v>
      </c>
      <c r="Q61" s="329"/>
      <c r="R61" s="41" t="s">
        <v>89</v>
      </c>
      <c r="T61" s="54">
        <f>E57+E62</f>
        <v>274.86038000000002</v>
      </c>
      <c r="U61" s="54">
        <f>F57+F62</f>
        <v>326.81159887155428</v>
      </c>
      <c r="V61" s="119">
        <f t="shared" si="7"/>
        <v>5.5806587777822048E-2</v>
      </c>
      <c r="W61" s="119">
        <f t="shared" si="7"/>
        <v>6.2661494370269508E-2</v>
      </c>
    </row>
    <row r="62" spans="3:23">
      <c r="C62" s="267" t="s">
        <v>78</v>
      </c>
      <c r="D62" s="268" t="s">
        <v>114</v>
      </c>
      <c r="E62" s="304">
        <v>16.066723</v>
      </c>
      <c r="F62" s="278">
        <v>19.453066816747196</v>
      </c>
      <c r="G62" s="269">
        <f t="shared" si="5"/>
        <v>0.21076754835116018</v>
      </c>
      <c r="H62" s="279">
        <v>79.342287999999996</v>
      </c>
      <c r="I62" s="278">
        <v>100.7972588167472</v>
      </c>
      <c r="J62" s="269">
        <f t="shared" si="6"/>
        <v>0.27041028633743469</v>
      </c>
      <c r="Q62" s="41"/>
      <c r="R62" s="41"/>
      <c r="T62" s="41"/>
      <c r="U62" s="41"/>
      <c r="V62" s="41"/>
      <c r="W62" s="41"/>
    </row>
    <row r="63" spans="3:23">
      <c r="C63" s="327" t="s">
        <v>80</v>
      </c>
      <c r="D63" s="244" t="s">
        <v>81</v>
      </c>
      <c r="E63" s="113">
        <f>E47-E62</f>
        <v>92.875064846805927</v>
      </c>
      <c r="F63" s="129">
        <f>F47-F62</f>
        <v>88.619526609626121</v>
      </c>
      <c r="G63" s="130">
        <f>((F63/E63)-1)</f>
        <v>-4.5820029780858418E-2</v>
      </c>
      <c r="H63" s="203">
        <f>H47-H62</f>
        <v>489.33568423402954</v>
      </c>
      <c r="I63" s="129">
        <f>I47-I62</f>
        <v>452.12255213929609</v>
      </c>
      <c r="J63" s="306">
        <f>((I63/H63)-1)</f>
        <v>-7.6048269712813199E-2</v>
      </c>
      <c r="Q63" s="41"/>
      <c r="R63" s="41"/>
      <c r="T63" s="41"/>
      <c r="U63" s="41"/>
      <c r="V63" s="41"/>
      <c r="W63" s="41"/>
    </row>
    <row r="64" spans="3:23" ht="13.8" thickBot="1">
      <c r="C64" s="328"/>
      <c r="D64" s="246" t="s">
        <v>41</v>
      </c>
      <c r="E64" s="118">
        <f>E46</f>
        <v>59.008191649999993</v>
      </c>
      <c r="F64" s="132">
        <f>F46</f>
        <v>61.852867935848877</v>
      </c>
      <c r="G64" s="133">
        <f t="shared" si="5"/>
        <v>4.8208159008188867E-2</v>
      </c>
      <c r="H64" s="204">
        <f>H46</f>
        <v>292.29256565000003</v>
      </c>
      <c r="I64" s="132">
        <f>I46</f>
        <v>287.58830816595673</v>
      </c>
      <c r="J64" s="133">
        <f t="shared" si="6"/>
        <v>-1.6094345313169223E-2</v>
      </c>
      <c r="Q64" s="41"/>
      <c r="R64" s="41"/>
      <c r="T64" s="54">
        <f>SUM(T58:T61)</f>
        <v>4925.2317861518059</v>
      </c>
      <c r="U64" s="54">
        <f>SUM(U58:U61)</f>
        <v>5215.5091760245978</v>
      </c>
      <c r="V64" s="41"/>
      <c r="W64" s="41"/>
    </row>
    <row r="65" spans="3:22" ht="14.4" thickTop="1" thickBot="1">
      <c r="C65" s="320" t="s">
        <v>108</v>
      </c>
      <c r="D65" s="321"/>
      <c r="E65" s="163">
        <f>SUM(E56,E61)</f>
        <v>4925.2317861518059</v>
      </c>
      <c r="F65" s="164">
        <f>SUM(F56,F61)</f>
        <v>5215.5091760245987</v>
      </c>
      <c r="G65" s="165">
        <f t="shared" si="5"/>
        <v>5.8936797794767903E-2</v>
      </c>
      <c r="H65" s="205">
        <f>SUM(H56,H61)</f>
        <v>24406.289649831524</v>
      </c>
      <c r="I65" s="164">
        <f>SUM(I56,I61)</f>
        <v>25823.864570781159</v>
      </c>
      <c r="J65" s="165">
        <f t="shared" si="6"/>
        <v>5.8082360788479059E-2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83"/>
  <sheetViews>
    <sheetView view="pageBreakPreview" zoomScale="90" zoomScaleNormal="100" zoomScaleSheetLayoutView="90" workbookViewId="0">
      <selection activeCell="C3" sqref="C3"/>
    </sheetView>
  </sheetViews>
  <sheetFormatPr baseColWidth="10" defaultColWidth="11.44140625" defaultRowHeight="13.2"/>
  <cols>
    <col min="1" max="2" width="5.44140625" customWidth="1"/>
    <col min="3" max="3" width="26.44140625" bestFit="1" customWidth="1"/>
    <col min="4" max="5" width="11.6640625" customWidth="1"/>
    <col min="6" max="6" width="9.6640625" customWidth="1"/>
    <col min="7" max="7" width="11.6640625" customWidth="1"/>
    <col min="8" max="8" width="12.6640625" customWidth="1"/>
    <col min="9" max="9" width="9.6640625" customWidth="1"/>
    <col min="10" max="10" width="6.88671875" customWidth="1"/>
    <col min="11" max="11" width="6.88671875" style="41" customWidth="1"/>
    <col min="12" max="12" width="27.5546875" style="41" customWidth="1"/>
    <col min="13" max="13" width="21.88671875" style="42" customWidth="1"/>
    <col min="14" max="21" width="11.44140625" style="42"/>
    <col min="22" max="25" width="11.441406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3.8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3.8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2559.6045561607498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2231.6938023094253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96.635286657262441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44.49229845155412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224.33723268000014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57.982067740000005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0.76393202560789486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5215.5091760245996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3"/>
      <c r="G24" s="226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8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7" t="s">
        <v>61</v>
      </c>
      <c r="D27" s="344" t="s">
        <v>129</v>
      </c>
      <c r="E27" s="344"/>
      <c r="F27" s="340" t="s">
        <v>74</v>
      </c>
      <c r="G27" s="338" t="s">
        <v>130</v>
      </c>
      <c r="H27" s="339"/>
      <c r="I27" s="340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8"/>
      <c r="D28" s="75">
        <v>2022</v>
      </c>
      <c r="E28" s="76">
        <v>2023</v>
      </c>
      <c r="F28" s="341"/>
      <c r="G28" s="206">
        <v>2022</v>
      </c>
      <c r="H28" s="76">
        <v>2023</v>
      </c>
      <c r="I28" s="341"/>
      <c r="M28" s="42" t="s">
        <v>85</v>
      </c>
      <c r="N28" s="53">
        <f t="shared" ref="N28:O29" si="1">D29</f>
        <v>2745.8684023049991</v>
      </c>
      <c r="O28" s="53">
        <f t="shared" si="1"/>
        <v>2559.6045561607498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2745.8684023049991</v>
      </c>
      <c r="E29" s="139">
        <f>'Resumen (G)'!F41+'Resumen (G)'!F46</f>
        <v>2559.6045561607498</v>
      </c>
      <c r="F29" s="140">
        <f>+E29/D29-1</f>
        <v>-6.7834221766742919E-2</v>
      </c>
      <c r="G29" s="219">
        <f>'Resumen (G)'!H41+'Resumen (G)'!H46</f>
        <v>15319.808581597494</v>
      </c>
      <c r="H29" s="139">
        <f>'Resumen (G)'!I41+'Resumen (G)'!I46</f>
        <v>14486.739348835141</v>
      </c>
      <c r="I29" s="140">
        <f>+H29/G29-1</f>
        <v>-5.4378566698480513E-2</v>
      </c>
      <c r="J29" s="36"/>
      <c r="M29" s="42" t="s">
        <v>2</v>
      </c>
      <c r="N29" s="53">
        <f t="shared" si="1"/>
        <v>1829.4645110000004</v>
      </c>
      <c r="O29" s="53">
        <f t="shared" si="1"/>
        <v>2231.6938023094253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1829.4645110000004</v>
      </c>
      <c r="E30" s="143">
        <v>2231.6938023094253</v>
      </c>
      <c r="F30" s="144">
        <f t="shared" ref="F30:F37" si="2">+E30/D30-1</f>
        <v>0.21986176222110099</v>
      </c>
      <c r="G30" s="220">
        <v>7414.1022279999997</v>
      </c>
      <c r="H30" s="143">
        <v>9632.9201361194246</v>
      </c>
      <c r="I30" s="144">
        <f t="shared" ref="I30:I37" si="3">+H30/G30-1</f>
        <v>0.2992699371934564</v>
      </c>
      <c r="J30" s="224"/>
      <c r="K30" s="225"/>
      <c r="M30" s="42" t="s">
        <v>84</v>
      </c>
      <c r="N30" s="53">
        <f>D32</f>
        <v>71.793492846807567</v>
      </c>
      <c r="O30" s="53">
        <f>E32</f>
        <v>96.635286657262441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11" t="s">
        <v>119</v>
      </c>
      <c r="E31" s="315" t="s">
        <v>119</v>
      </c>
      <c r="F31" s="144"/>
      <c r="G31" s="314" t="s">
        <v>119</v>
      </c>
      <c r="H31" s="315" t="s">
        <v>119</v>
      </c>
      <c r="I31" s="317" t="s">
        <v>119</v>
      </c>
      <c r="J31" s="224"/>
      <c r="K31" s="225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71.793492846807567</v>
      </c>
      <c r="E32" s="143">
        <f>'Resumen (G)'!F32-SUM('TipoRecurso (G)'!E29:E30,'TipoRecurso (G)'!E33:E36)</f>
        <v>96.635286657262441</v>
      </c>
      <c r="F32" s="144">
        <f t="shared" si="2"/>
        <v>0.3460173453806199</v>
      </c>
      <c r="G32" s="220">
        <f>'Resumen (G)'!H32-SUM('TipoRecurso (G)'!G29:G30,'TipoRecurso (G)'!G33:G36)</f>
        <v>382.64545923403421</v>
      </c>
      <c r="H32" s="143">
        <f>'Resumen (G)'!I32-SUM('TipoRecurso (G)'!H29:H30,'TipoRecurso (G)'!H33:H36)</f>
        <v>388.91888632004702</v>
      </c>
      <c r="I32" s="144">
        <f t="shared" si="3"/>
        <v>1.6394881827608065E-2</v>
      </c>
      <c r="J32" s="36"/>
      <c r="M32" s="42" t="s">
        <v>4</v>
      </c>
      <c r="N32" s="77">
        <f>D36</f>
        <v>3.2450000000000001</v>
      </c>
      <c r="O32" s="77">
        <f>E36</f>
        <v>0.76393202560789486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40.687107000000026</v>
      </c>
      <c r="E33" s="143">
        <f>'Resumen (G)'!F57+'Resumen (G)'!F62-SUM('TipoRecurso (G)'!E34:E35)</f>
        <v>44.49229845155412</v>
      </c>
      <c r="F33" s="144">
        <f t="shared" si="2"/>
        <v>9.3523273885117719E-2</v>
      </c>
      <c r="G33" s="220">
        <f>'Resumen (G)'!H57+'Resumen (G)'!H62-SUM('TipoRecurso (G)'!G34:G35)</f>
        <v>190.52129600000012</v>
      </c>
      <c r="H33" s="143">
        <f>'Resumen (G)'!I57+'Resumen (G)'!I62-SUM('TipoRecurso (G)'!H34:H35)</f>
        <v>207.64524481155422</v>
      </c>
      <c r="I33" s="144">
        <f t="shared" si="3"/>
        <v>8.9879447447985594E-2</v>
      </c>
      <c r="M33" s="42" t="s">
        <v>90</v>
      </c>
      <c r="N33" s="53">
        <f t="shared" ref="N33:O35" si="4">D33</f>
        <v>40.687107000000026</v>
      </c>
      <c r="O33" s="53">
        <f t="shared" si="4"/>
        <v>44.49229845155412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171.92559600000001</v>
      </c>
      <c r="E34" s="143">
        <f>'Resumen (G)'!F43</f>
        <v>224.33723268000014</v>
      </c>
      <c r="F34" s="144">
        <f t="shared" si="2"/>
        <v>0.3048506906441093</v>
      </c>
      <c r="G34" s="220">
        <f>'Resumen (G)'!H43</f>
        <v>768.27527100000009</v>
      </c>
      <c r="H34" s="143">
        <f>'Resumen (G)'!I43</f>
        <v>790.47206710750015</v>
      </c>
      <c r="I34" s="144">
        <f t="shared" si="3"/>
        <v>2.8891722726684055E-2</v>
      </c>
      <c r="M34" s="42" t="s">
        <v>14</v>
      </c>
      <c r="N34" s="53">
        <f t="shared" si="4"/>
        <v>171.92559600000001</v>
      </c>
      <c r="O34" s="53">
        <f t="shared" si="4"/>
        <v>224.33723268000014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62.247676999999989</v>
      </c>
      <c r="E35" s="143">
        <f>'Resumen (G)'!F44</f>
        <v>57.982067740000005</v>
      </c>
      <c r="F35" s="357">
        <f t="shared" si="2"/>
        <v>-6.852640075227201E-2</v>
      </c>
      <c r="G35" s="220">
        <f>'Resumen (G)'!H44</f>
        <v>324.99628399999995</v>
      </c>
      <c r="H35" s="143">
        <f>'Resumen (G)'!I44</f>
        <v>307.9833575875</v>
      </c>
      <c r="I35" s="144">
        <f t="shared" si="3"/>
        <v>-5.2348064424330376E-2</v>
      </c>
      <c r="M35" s="42" t="s">
        <v>5</v>
      </c>
      <c r="N35" s="53">
        <f t="shared" si="4"/>
        <v>62.247676999999989</v>
      </c>
      <c r="O35" s="53">
        <f t="shared" si="4"/>
        <v>57.982067740000005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8" thickBot="1">
      <c r="C36" s="145" t="s">
        <v>118</v>
      </c>
      <c r="D36" s="316">
        <v>3.2450000000000001</v>
      </c>
      <c r="E36" s="313">
        <v>0.76393202560789486</v>
      </c>
      <c r="F36" s="146">
        <f t="shared" si="2"/>
        <v>-0.76458181029032513</v>
      </c>
      <c r="G36" s="312">
        <v>5.9405299999999999</v>
      </c>
      <c r="H36" s="313">
        <v>9.1855299999999982</v>
      </c>
      <c r="I36" s="146">
        <f t="shared" si="3"/>
        <v>0.54624755703615646</v>
      </c>
      <c r="N36" s="53">
        <f>SUM(N28:N35)</f>
        <v>4925.2317861518068</v>
      </c>
      <c r="O36" s="53">
        <f>SUM(O28:O35)</f>
        <v>5215.5091760245996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9" t="s">
        <v>108</v>
      </c>
      <c r="D37" s="260">
        <f>SUM(D29:D36)</f>
        <v>4925.2317861518068</v>
      </c>
      <c r="E37" s="261">
        <f>SUM(E29:E36)</f>
        <v>5215.5091760245996</v>
      </c>
      <c r="F37" s="262">
        <f t="shared" si="2"/>
        <v>5.8936797794767903E-2</v>
      </c>
      <c r="G37" s="263">
        <f>SUM(G29:G36)</f>
        <v>24406.289649831528</v>
      </c>
      <c r="H37" s="261">
        <f>SUM(H29:H36)</f>
        <v>25823.864570781163</v>
      </c>
      <c r="I37" s="264">
        <f t="shared" si="3"/>
        <v>5.8082360788479059E-2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/>
      <c r="N41" s="197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 t="shared" ref="M42:N44" si="5">N28/N$36</f>
        <v>0.55751049321689028</v>
      </c>
      <c r="N42" s="197">
        <f t="shared" si="5"/>
        <v>0.49076791350058535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 t="shared" si="5"/>
        <v>0.37144739383512376</v>
      </c>
      <c r="N43" s="197">
        <f t="shared" si="5"/>
        <v>0.42789567173391152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 t="shared" si="5"/>
        <v>1.4576672929113337E-2</v>
      </c>
      <c r="N44" s="197">
        <f t="shared" si="5"/>
        <v>1.8528447251418785E-2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 t="shared" ref="M45:N49" si="6">N32/N$36</f>
        <v>6.5885224105064724E-4</v>
      </c>
      <c r="N45" s="197">
        <f t="shared" si="6"/>
        <v>1.4647314381492169E-4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 t="shared" si="6"/>
        <v>8.2609527361533104E-3</v>
      </c>
      <c r="N46" s="197">
        <f t="shared" si="6"/>
        <v>8.530767936538718E-3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 t="shared" si="6"/>
        <v>3.4907107617432417E-2</v>
      </c>
      <c r="N47" s="197">
        <f t="shared" si="6"/>
        <v>4.3013486336341944E-2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7">
        <f t="shared" si="6"/>
        <v>1.2638527424236309E-2</v>
      </c>
      <c r="N48" s="197">
        <f t="shared" si="6"/>
        <v>1.111724009738882E-2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7">
        <f t="shared" si="6"/>
        <v>1</v>
      </c>
      <c r="N49" s="197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3.8">
      <c r="B51" s="12" t="s">
        <v>100</v>
      </c>
      <c r="D51" s="16"/>
      <c r="E51" s="16"/>
      <c r="F51" s="16"/>
      <c r="G51" s="16"/>
      <c r="H51" s="16"/>
      <c r="I51" s="16"/>
      <c r="M51" s="198">
        <f>SUM(M41:M48)</f>
        <v>1.0000000000000002</v>
      </c>
      <c r="N51" s="198">
        <f>SUM(N41:N48)</f>
        <v>1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8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3.8">
      <c r="C55" s="342" t="s">
        <v>91</v>
      </c>
      <c r="D55" s="344" t="s">
        <v>129</v>
      </c>
      <c r="E55" s="344"/>
      <c r="F55" s="340" t="s">
        <v>74</v>
      </c>
      <c r="G55" s="338" t="s">
        <v>130</v>
      </c>
      <c r="H55" s="339"/>
      <c r="I55" s="340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43"/>
      <c r="D56" s="75">
        <v>2022</v>
      </c>
      <c r="E56" s="76">
        <v>2023</v>
      </c>
      <c r="F56" s="341"/>
      <c r="G56" s="206">
        <v>2022</v>
      </c>
      <c r="H56" s="76">
        <v>2023</v>
      </c>
      <c r="I56" s="341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50" t="s">
        <v>42</v>
      </c>
      <c r="D57" s="251">
        <f>SUM(D29:D32,D36)</f>
        <v>4650.3714061518067</v>
      </c>
      <c r="E57" s="252">
        <f>SUM(E29:E32,E36)</f>
        <v>4888.6975771530451</v>
      </c>
      <c r="F57" s="253">
        <f>+E57/D57-1</f>
        <v>5.1248846637489187E-2</v>
      </c>
      <c r="G57" s="254">
        <f>SUM(G29:G32,G36)</f>
        <v>23122.496798831529</v>
      </c>
      <c r="H57" s="252">
        <f>SUM(H29:H32,H36)</f>
        <v>24517.763901274611</v>
      </c>
      <c r="I57" s="253">
        <f>+H57/G57-1</f>
        <v>6.0342406556786354E-2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6" thickBot="1">
      <c r="C58" s="255" t="s">
        <v>104</v>
      </c>
      <c r="D58" s="301">
        <f>SUM(D33:D35)</f>
        <v>274.86038000000002</v>
      </c>
      <c r="E58" s="256">
        <f>SUM(E33:E35)</f>
        <v>326.81159887155428</v>
      </c>
      <c r="F58" s="302">
        <f>+E58/D58-1</f>
        <v>0.18900948500309234</v>
      </c>
      <c r="G58" s="307">
        <f>SUM(G33:G35)</f>
        <v>1283.7928510000002</v>
      </c>
      <c r="H58" s="256">
        <f>SUM(H33:H35)</f>
        <v>1306.1006695065544</v>
      </c>
      <c r="I58" s="308">
        <f>+H58/G58-1</f>
        <v>1.7376493792731207E-2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4925.2317861518068</v>
      </c>
      <c r="E59" s="79">
        <f>SUM(E57:E58)</f>
        <v>5215.5091760245996</v>
      </c>
      <c r="F59" s="80">
        <f>+E59/D59-1</f>
        <v>5.8936797794767903E-2</v>
      </c>
      <c r="G59" s="221">
        <f>SUM(G57:G58)</f>
        <v>24406.289649831531</v>
      </c>
      <c r="H59" s="79">
        <f>SUM(H57:H58)</f>
        <v>25823.864570781167</v>
      </c>
      <c r="I59" s="80">
        <f>+H59/G59-1</f>
        <v>5.8082360788479059E-2</v>
      </c>
      <c r="N59" s="57"/>
      <c r="O59" s="57"/>
      <c r="P59" s="57"/>
      <c r="Q59" s="57"/>
      <c r="R59" s="57"/>
      <c r="S59" s="57"/>
      <c r="T59" s="57"/>
      <c r="U59" s="57"/>
    </row>
    <row r="60" spans="2:25" ht="13.8" thickBot="1">
      <c r="C60" s="103" t="s">
        <v>8</v>
      </c>
      <c r="D60" s="81">
        <f>+D58/D59</f>
        <v>5.5806587777822034E-2</v>
      </c>
      <c r="E60" s="82">
        <f>+E58/E59</f>
        <v>6.266149437026948E-2</v>
      </c>
      <c r="F60" s="83"/>
      <c r="G60" s="222">
        <f>+G58/G59</f>
        <v>5.2600902038744006E-2</v>
      </c>
      <c r="H60" s="82">
        <f>+H58/H59</f>
        <v>5.0577273820757385E-2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8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6.4">
      <c r="L65" s="68" t="s">
        <v>57</v>
      </c>
      <c r="M65" s="59">
        <f>D57</f>
        <v>4650.3714061518067</v>
      </c>
      <c r="N65" s="59">
        <f>E57</f>
        <v>4888.6975771530451</v>
      </c>
      <c r="O65" s="67">
        <v>4.4847805250167516E-2</v>
      </c>
      <c r="P65" s="60"/>
      <c r="Q65" s="60"/>
      <c r="R65" s="60"/>
      <c r="S65" s="60"/>
      <c r="T65" s="60"/>
    </row>
    <row r="66" spans="2:24" ht="39.6">
      <c r="K66" s="58"/>
      <c r="L66" s="68" t="s">
        <v>58</v>
      </c>
      <c r="M66" s="59">
        <f>D58</f>
        <v>274.86038000000002</v>
      </c>
      <c r="N66" s="59">
        <f>E58</f>
        <v>326.81159887155428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8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3.8">
      <c r="B74" s="12" t="s">
        <v>115</v>
      </c>
    </row>
    <row r="75" spans="2:24" ht="13.8">
      <c r="B75" s="12"/>
    </row>
    <row r="76" spans="2:24" ht="13.8">
      <c r="B76" s="12"/>
      <c r="C76" s="5" t="s">
        <v>126</v>
      </c>
    </row>
    <row r="77" spans="2:24" ht="13.8" thickBot="1">
      <c r="N77" s="42">
        <v>2021</v>
      </c>
      <c r="O77" s="42">
        <v>2022</v>
      </c>
    </row>
    <row r="78" spans="2:24" ht="15" customHeight="1">
      <c r="C78" s="274"/>
      <c r="D78" s="344" t="s">
        <v>129</v>
      </c>
      <c r="E78" s="344"/>
      <c r="F78" s="84" t="s">
        <v>74</v>
      </c>
      <c r="G78" s="338" t="s">
        <v>130</v>
      </c>
      <c r="H78" s="339"/>
      <c r="I78" s="84" t="s">
        <v>74</v>
      </c>
      <c r="M78" s="42" t="s">
        <v>96</v>
      </c>
      <c r="N78" s="53">
        <f>D80</f>
        <v>62.783145689999984</v>
      </c>
      <c r="O78" s="53">
        <f>E80</f>
        <v>21.498926522500003</v>
      </c>
    </row>
    <row r="79" spans="2:24" ht="12.75" customHeight="1">
      <c r="C79" s="299" t="s">
        <v>95</v>
      </c>
      <c r="D79" s="300">
        <v>2022</v>
      </c>
      <c r="E79" s="76">
        <v>2023</v>
      </c>
      <c r="F79" s="85"/>
      <c r="G79" s="293">
        <v>2022</v>
      </c>
      <c r="H79" s="76">
        <v>2023</v>
      </c>
      <c r="I79" s="85"/>
      <c r="M79" s="42" t="s">
        <v>97</v>
      </c>
      <c r="N79" s="53">
        <f>D81</f>
        <v>4694.4986609649995</v>
      </c>
      <c r="O79" s="53">
        <f>E81</f>
        <v>5024.0847881398768</v>
      </c>
    </row>
    <row r="80" spans="2:24" ht="12.75" customHeight="1">
      <c r="C80" s="110" t="s">
        <v>96</v>
      </c>
      <c r="D80" s="113">
        <v>62.783145689999984</v>
      </c>
      <c r="E80" s="298">
        <v>21.498926522500003</v>
      </c>
      <c r="F80" s="130">
        <f>((E80/D80)-1)</f>
        <v>-0.65756850367686615</v>
      </c>
      <c r="G80" s="203">
        <v>180.33732364249997</v>
      </c>
      <c r="H80" s="298">
        <v>83.793291587500008</v>
      </c>
      <c r="I80" s="130">
        <f>((H80/G80)-1)</f>
        <v>-0.53535247227239813</v>
      </c>
      <c r="K80" s="54"/>
    </row>
    <row r="81" spans="3:15" ht="16.5" customHeight="1" thickBot="1">
      <c r="C81" s="115" t="s">
        <v>97</v>
      </c>
      <c r="D81" s="118">
        <f>'Resumen (G)'!E40-D80</f>
        <v>4694.4986609649995</v>
      </c>
      <c r="E81" s="281">
        <f>'Resumen (G)'!F40-E80</f>
        <v>5024.0847881398768</v>
      </c>
      <c r="F81" s="133">
        <f>((E81/D81)-1)</f>
        <v>7.0206884904537858E-2</v>
      </c>
      <c r="G81" s="204">
        <f>'Resumen (G)'!H40-G80</f>
        <v>23364.981788304995</v>
      </c>
      <c r="H81" s="281">
        <f>'Resumen (G)'!I40-H80</f>
        <v>24899.563160071659</v>
      </c>
      <c r="I81" s="133">
        <f>((H81/G81)-1)</f>
        <v>6.5678688974402544E-2</v>
      </c>
      <c r="M81" s="53"/>
      <c r="N81" s="53"/>
      <c r="O81" s="53"/>
    </row>
    <row r="82" spans="3:15" ht="14.4" thickTop="1" thickBot="1">
      <c r="C82" s="104" t="s">
        <v>94</v>
      </c>
      <c r="D82" s="199">
        <f>SUM(D80:D81)</f>
        <v>4757.2818066549999</v>
      </c>
      <c r="E82" s="282">
        <f>SUM(E80:E81)</f>
        <v>5045.5837146623771</v>
      </c>
      <c r="F82" s="105"/>
      <c r="G82" s="223">
        <f>SUM(G80:G81)</f>
        <v>23545.319111947494</v>
      </c>
      <c r="H82" s="282">
        <f>SUM(H80:H81)</f>
        <v>24983.356451659158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C55:C56"/>
    <mergeCell ref="D78:E78"/>
    <mergeCell ref="D27:E27"/>
    <mergeCell ref="F27:F28"/>
    <mergeCell ref="D55:E55"/>
    <mergeCell ref="F55:F56"/>
    <mergeCell ref="G27:H27"/>
    <mergeCell ref="I27:I28"/>
    <mergeCell ref="G55:H55"/>
    <mergeCell ref="I55:I56"/>
    <mergeCell ref="G78:H78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R65"/>
  <sheetViews>
    <sheetView view="pageBreakPreview" zoomScaleNormal="100" zoomScaleSheetLayoutView="100" workbookViewId="0">
      <selection activeCell="C3" sqref="C3"/>
    </sheetView>
  </sheetViews>
  <sheetFormatPr baseColWidth="10" defaultColWidth="11.44140625" defaultRowHeight="13.2"/>
  <cols>
    <col min="1" max="1" width="5.44140625" customWidth="1"/>
    <col min="2" max="2" width="3.88671875" customWidth="1"/>
    <col min="3" max="3" width="27.88671875" customWidth="1"/>
    <col min="4" max="5" width="11.6640625" customWidth="1"/>
    <col min="6" max="6" width="9.6640625" customWidth="1"/>
    <col min="7" max="7" width="13" customWidth="1"/>
    <col min="8" max="8" width="13.109375" customWidth="1"/>
    <col min="9" max="9" width="9.5546875" customWidth="1"/>
    <col min="10" max="10" width="3.6640625" customWidth="1"/>
    <col min="11" max="11" width="9" customWidth="1"/>
    <col min="13" max="13" width="19.109375" customWidth="1"/>
    <col min="14" max="14" width="8.33203125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3:13" ht="13.8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3.8">
      <c r="C3" s="13"/>
      <c r="D3" s="2"/>
      <c r="E3" s="13"/>
      <c r="F3" s="13"/>
      <c r="G3" s="13"/>
      <c r="H3" s="13"/>
      <c r="I3" s="13"/>
      <c r="J3" s="13"/>
    </row>
    <row r="4" spans="3:13" ht="13.8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52" t="s">
        <v>129</v>
      </c>
      <c r="E8" s="353"/>
      <c r="F8" s="340" t="s">
        <v>74</v>
      </c>
      <c r="G8" s="338" t="s">
        <v>130</v>
      </c>
      <c r="H8" s="339"/>
      <c r="I8" s="340" t="s">
        <v>74</v>
      </c>
      <c r="J8" s="16"/>
    </row>
    <row r="9" spans="3:13" ht="13.5" customHeight="1">
      <c r="C9" s="179"/>
      <c r="D9" s="88">
        <v>2022</v>
      </c>
      <c r="E9" s="76">
        <v>2023</v>
      </c>
      <c r="F9" s="341"/>
      <c r="G9" s="293">
        <v>2022</v>
      </c>
      <c r="H9" s="76">
        <v>2023</v>
      </c>
      <c r="I9" s="341"/>
      <c r="J9" s="16"/>
    </row>
    <row r="10" spans="3:13">
      <c r="C10" s="166" t="s">
        <v>10</v>
      </c>
      <c r="D10" s="167">
        <f>'Por Región (G)'!O8</f>
        <v>385.78826188013932</v>
      </c>
      <c r="E10" s="168">
        <f>'Por Región (G)'!P8</f>
        <v>402.54576197955225</v>
      </c>
      <c r="F10" s="169">
        <f>+E10/D10-1</f>
        <v>4.3437039835647839E-2</v>
      </c>
      <c r="G10" s="289">
        <f>'Por Región (G)'!Q8</f>
        <v>1686.0736474006965</v>
      </c>
      <c r="H10" s="168">
        <f>'Por Región (G)'!R8</f>
        <v>1683.6591240868379</v>
      </c>
      <c r="I10" s="358">
        <f>+H10/G10-1</f>
        <v>-1.4320390556965545E-3</v>
      </c>
      <c r="J10" s="16"/>
      <c r="L10" s="41" t="s">
        <v>9</v>
      </c>
      <c r="M10" s="200">
        <f>E11</f>
        <v>4141.7937576605345</v>
      </c>
    </row>
    <row r="11" spans="3:13">
      <c r="C11" s="170" t="s">
        <v>9</v>
      </c>
      <c r="D11" s="171">
        <f>'Por Región (G)'!O9</f>
        <v>3912.9107173166667</v>
      </c>
      <c r="E11" s="172">
        <f>'Por Región (G)'!P9</f>
        <v>4141.7937576605345</v>
      </c>
      <c r="F11" s="173">
        <f>+E11/D11-1</f>
        <v>5.8494317115629801E-2</v>
      </c>
      <c r="G11" s="290">
        <f>'Por Región (G)'!Q9</f>
        <v>19413.954352983332</v>
      </c>
      <c r="H11" s="172">
        <f>'Por Región (G)'!R9</f>
        <v>20864.903214340942</v>
      </c>
      <c r="I11" s="173">
        <f>+H11/G11-1</f>
        <v>7.473742005242956E-2</v>
      </c>
      <c r="J11" s="16"/>
      <c r="L11" s="41" t="s">
        <v>12</v>
      </c>
      <c r="M11" s="200">
        <f>E12</f>
        <v>638.32187420837283</v>
      </c>
    </row>
    <row r="12" spans="3:13">
      <c r="C12" s="170" t="s">
        <v>12</v>
      </c>
      <c r="D12" s="171">
        <f>'Por Región (G)'!O10</f>
        <v>592.03564022166665</v>
      </c>
      <c r="E12" s="172">
        <f>'Por Región (G)'!P10</f>
        <v>638.32187420837283</v>
      </c>
      <c r="F12" s="173">
        <f>+E12/D12-1</f>
        <v>7.8181499291792633E-2</v>
      </c>
      <c r="G12" s="290">
        <f>'Por Región (G)'!Q10</f>
        <v>3134.1808427808337</v>
      </c>
      <c r="H12" s="172">
        <f>'Por Región (G)'!R10</f>
        <v>3111.2962371772401</v>
      </c>
      <c r="I12" s="173">
        <f>+H12/G12-1</f>
        <v>-7.3016225774926724E-3</v>
      </c>
      <c r="J12" s="16"/>
      <c r="L12" s="41" t="s">
        <v>10</v>
      </c>
      <c r="M12" s="200">
        <f>E10</f>
        <v>402.54576197955225</v>
      </c>
    </row>
    <row r="13" spans="3:13">
      <c r="C13" s="174" t="s">
        <v>11</v>
      </c>
      <c r="D13" s="175">
        <f>'Por Región (G)'!O11</f>
        <v>34.497166733333316</v>
      </c>
      <c r="E13" s="176">
        <f>'Por Región (G)'!P11</f>
        <v>32.847782176139937</v>
      </c>
      <c r="F13" s="177">
        <f>+E13/D13-1</f>
        <v>-4.7812174545906694E-2</v>
      </c>
      <c r="G13" s="291">
        <f>'Por Región (G)'!Q11</f>
        <v>172.08080666666666</v>
      </c>
      <c r="H13" s="176">
        <f>'Por Región (G)'!R11</f>
        <v>164.00599517613995</v>
      </c>
      <c r="I13" s="177">
        <f>+H13/G13-1</f>
        <v>-4.6924532996688195E-2</v>
      </c>
      <c r="J13" s="16"/>
      <c r="L13" s="41" t="s">
        <v>11</v>
      </c>
      <c r="M13" s="200">
        <f>E13</f>
        <v>32.847782176139937</v>
      </c>
    </row>
    <row r="14" spans="3:13" ht="13.8" thickBot="1">
      <c r="C14" s="180" t="s">
        <v>108</v>
      </c>
      <c r="D14" s="181">
        <f>SUM(D10:D13)</f>
        <v>4925.2317861518059</v>
      </c>
      <c r="E14" s="182">
        <f>SUM(E10:E13)</f>
        <v>5215.5091760245996</v>
      </c>
      <c r="F14" s="183">
        <f>+E14/D14-1</f>
        <v>5.8936797794768125E-2</v>
      </c>
      <c r="G14" s="292">
        <f>SUM(G10:G13)</f>
        <v>24406.289649831524</v>
      </c>
      <c r="H14" s="182">
        <f>SUM(H10:H13)</f>
        <v>25823.864570781159</v>
      </c>
      <c r="I14" s="183">
        <f>+H14/G14-1</f>
        <v>5.8082360788479059E-2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3.8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49" t="s">
        <v>93</v>
      </c>
      <c r="D18" s="349"/>
      <c r="E18" s="349"/>
      <c r="F18" s="349"/>
      <c r="G18" s="350" t="s">
        <v>107</v>
      </c>
      <c r="H18" s="351"/>
      <c r="I18" s="351"/>
      <c r="J18" s="351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8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5" t="s">
        <v>12</v>
      </c>
      <c r="R44" s="20" t="s">
        <v>38</v>
      </c>
    </row>
    <row r="45" spans="3:18" ht="13.8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8" thickBot="1">
      <c r="C53" s="184" t="s">
        <v>98</v>
      </c>
      <c r="D53" s="69"/>
      <c r="E53" s="69"/>
      <c r="F53" s="69"/>
      <c r="G53" s="69"/>
      <c r="H53" s="69"/>
      <c r="I53" s="27"/>
    </row>
    <row r="54" spans="3:15" ht="13.8">
      <c r="C54" s="345" t="s">
        <v>13</v>
      </c>
      <c r="D54" s="347" t="s">
        <v>134</v>
      </c>
      <c r="E54" s="348"/>
      <c r="F54" s="348"/>
      <c r="G54" s="348"/>
      <c r="H54" s="348"/>
    </row>
    <row r="55" spans="3:15">
      <c r="C55" s="346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6">
        <f>'Resumen (G)'!D14-'PorZona (G)'!D58</f>
        <v>89.716826557500212</v>
      </c>
      <c r="E56" s="188">
        <v>140.77825058884125</v>
      </c>
      <c r="F56" s="188">
        <v>0</v>
      </c>
      <c r="G56" s="188">
        <v>172.05068483321079</v>
      </c>
      <c r="H56" s="188">
        <f>SUM(D56:G56)</f>
        <v>402.54576197955225</v>
      </c>
      <c r="I56" s="284"/>
      <c r="K56" s="265"/>
      <c r="L56" s="265"/>
      <c r="M56" s="265"/>
      <c r="N56" s="265"/>
      <c r="O56" s="265"/>
    </row>
    <row r="57" spans="3:15">
      <c r="C57" s="110" t="s">
        <v>9</v>
      </c>
      <c r="D57" s="287">
        <v>0</v>
      </c>
      <c r="E57" s="189">
        <v>2088.2186928363863</v>
      </c>
      <c r="F57" s="318">
        <v>6.4599999999999996E-3</v>
      </c>
      <c r="G57" s="189">
        <v>2053.5686048241482</v>
      </c>
      <c r="H57" s="189">
        <f>SUM(D57:G57)</f>
        <v>4141.7937576605345</v>
      </c>
      <c r="I57" s="284"/>
      <c r="K57" s="265"/>
      <c r="L57" s="265"/>
      <c r="M57" s="265"/>
      <c r="N57" s="265"/>
      <c r="O57" s="265"/>
    </row>
    <row r="58" spans="3:15">
      <c r="C58" s="110" t="s">
        <v>12</v>
      </c>
      <c r="D58" s="287">
        <v>134.62040612249993</v>
      </c>
      <c r="E58" s="189">
        <v>330.60761273552231</v>
      </c>
      <c r="F58" s="189">
        <f>'Resumen (G)'!D15+0.0171445</f>
        <v>57.999212240000006</v>
      </c>
      <c r="G58" s="189">
        <v>115.0946431103506</v>
      </c>
      <c r="H58" s="189">
        <f>SUM(D58:G58)</f>
        <v>638.32187420837283</v>
      </c>
      <c r="I58" s="284"/>
      <c r="K58" s="265"/>
      <c r="L58" s="265"/>
      <c r="M58" s="265"/>
      <c r="N58" s="265"/>
      <c r="O58" s="265"/>
    </row>
    <row r="59" spans="3:15">
      <c r="C59" s="186" t="s">
        <v>11</v>
      </c>
      <c r="D59" s="288">
        <v>0</v>
      </c>
      <c r="E59" s="190">
        <v>0</v>
      </c>
      <c r="F59" s="190">
        <v>0</v>
      </c>
      <c r="G59" s="190">
        <f>E13</f>
        <v>32.847782176139937</v>
      </c>
      <c r="H59" s="190">
        <f>SUM(D59:G59)</f>
        <v>32.847782176139937</v>
      </c>
      <c r="I59" s="284"/>
      <c r="L59" s="265"/>
    </row>
    <row r="60" spans="3:15" ht="13.8" thickBot="1">
      <c r="C60" s="93" t="s">
        <v>108</v>
      </c>
      <c r="D60" s="191">
        <f>SUM(D56:D59)</f>
        <v>224.33723268000014</v>
      </c>
      <c r="E60" s="192">
        <f>SUM(E56:E59)</f>
        <v>2559.6045561607498</v>
      </c>
      <c r="F60" s="192">
        <f>SUM(F56:F59)</f>
        <v>58.005672240000003</v>
      </c>
      <c r="G60" s="192">
        <f>SUM(G56:G59)</f>
        <v>2373.5617149438494</v>
      </c>
      <c r="H60" s="192">
        <f>SUM(H56:H59)</f>
        <v>5215.5091760245996</v>
      </c>
    </row>
    <row r="61" spans="3:15" ht="6.75" customHeight="1"/>
    <row r="64" spans="3:15">
      <c r="E64" s="265"/>
      <c r="H64" s="100"/>
    </row>
    <row r="65" spans="5:5">
      <c r="E65" s="100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S93"/>
  <sheetViews>
    <sheetView view="pageBreakPreview" zoomScale="90" zoomScaleNormal="100" zoomScaleSheetLayoutView="90" workbookViewId="0">
      <selection activeCell="C3" sqref="C3"/>
    </sheetView>
  </sheetViews>
  <sheetFormatPr baseColWidth="10" defaultColWidth="11.44140625" defaultRowHeight="13.2"/>
  <cols>
    <col min="1" max="2" width="5.44140625" customWidth="1"/>
    <col min="3" max="3" width="24.33203125" customWidth="1"/>
    <col min="4" max="4" width="11.6640625" bestFit="1" customWidth="1"/>
    <col min="5" max="5" width="11.6640625" customWidth="1"/>
    <col min="6" max="6" width="9.6640625" customWidth="1"/>
    <col min="7" max="8" width="11.6640625" customWidth="1"/>
    <col min="9" max="9" width="9.6640625" customWidth="1"/>
    <col min="10" max="10" width="12.33203125" customWidth="1"/>
    <col min="11" max="11" width="9.6640625" customWidth="1"/>
    <col min="12" max="12" width="10.33203125" customWidth="1"/>
    <col min="14" max="14" width="14.5546875" customWidth="1"/>
    <col min="15" max="15" width="14.5546875" bestFit="1" customWidth="1"/>
    <col min="16" max="16" width="13.5546875" customWidth="1"/>
    <col min="17" max="17" width="12.6640625" bestFit="1" customWidth="1"/>
    <col min="18" max="18" width="14.33203125" bestFit="1" customWidth="1"/>
    <col min="19" max="19" width="14.44140625" customWidth="1"/>
    <col min="20" max="20" width="13.33203125" customWidth="1"/>
  </cols>
  <sheetData>
    <row r="1" spans="3:19" ht="13.8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3.8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3.8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3.8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8" thickBot="1"/>
    <row r="6" spans="3:19" ht="12.75" customHeight="1">
      <c r="C6" s="86" t="s">
        <v>60</v>
      </c>
      <c r="D6" s="352" t="s">
        <v>129</v>
      </c>
      <c r="E6" s="353"/>
      <c r="F6" s="340" t="s">
        <v>74</v>
      </c>
      <c r="G6" s="338" t="s">
        <v>130</v>
      </c>
      <c r="H6" s="339"/>
      <c r="I6" s="340" t="s">
        <v>74</v>
      </c>
      <c r="O6" s="36"/>
      <c r="P6" s="7"/>
      <c r="Q6" s="354" t="s">
        <v>116</v>
      </c>
      <c r="R6" s="354"/>
    </row>
    <row r="7" spans="3:19" ht="12.75" customHeight="1">
      <c r="C7" s="87"/>
      <c r="D7" s="88">
        <v>2022</v>
      </c>
      <c r="E7" s="76">
        <v>2023</v>
      </c>
      <c r="F7" s="341"/>
      <c r="G7" s="206">
        <v>2022</v>
      </c>
      <c r="H7" s="76">
        <v>2023</v>
      </c>
      <c r="I7" s="341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5">
        <v>4.1320860000000001</v>
      </c>
      <c r="E8" s="297">
        <v>2.9469930841649115</v>
      </c>
      <c r="F8" s="194">
        <f>+E8/D8-1</f>
        <v>-0.28680257764119355</v>
      </c>
      <c r="G8" s="303">
        <v>20.020543999999997</v>
      </c>
      <c r="H8" s="297">
        <v>14.556708094164911</v>
      </c>
      <c r="I8" s="194">
        <f>+H8/G8-1</f>
        <v>-0.27291146063938554</v>
      </c>
      <c r="J8" s="16"/>
      <c r="K8" s="35"/>
      <c r="L8" s="35"/>
      <c r="N8" s="41" t="s">
        <v>10</v>
      </c>
      <c r="O8" s="54">
        <f>SUM(D8,D13,D20,D21,D27,D29,D31)</f>
        <v>385.78826188013932</v>
      </c>
      <c r="P8" s="54">
        <f>SUM(E8,E13,E20,E21,E27,E29,E31)</f>
        <v>402.54576197955225</v>
      </c>
      <c r="Q8" s="54">
        <f>SUM(G8,G13,G20,G21,G27,G29,G31)</f>
        <v>1686.0736474006965</v>
      </c>
      <c r="R8" s="54">
        <f>SUM(H8,H13,H20,H21,H27,H29,H31)</f>
        <v>1683.6591240868379</v>
      </c>
    </row>
    <row r="9" spans="3:19" ht="20.100000000000001" customHeight="1">
      <c r="C9" s="96" t="s">
        <v>18</v>
      </c>
      <c r="D9" s="193">
        <v>198.01459770000002</v>
      </c>
      <c r="E9" s="247">
        <v>162.37965575625793</v>
      </c>
      <c r="F9" s="195">
        <f t="shared" ref="F9:F32" si="0">+E9/D9-1</f>
        <v>-0.17996118648651571</v>
      </c>
      <c r="G9" s="207">
        <v>1226.2446974999998</v>
      </c>
      <c r="H9" s="247">
        <v>998.46022017035807</v>
      </c>
      <c r="I9" s="195">
        <f t="shared" ref="I9:I32" si="1">+H9/G9-1</f>
        <v>-0.18575776742931993</v>
      </c>
      <c r="J9" s="16"/>
      <c r="K9" s="35"/>
      <c r="L9" s="35"/>
      <c r="N9" s="41" t="s">
        <v>9</v>
      </c>
      <c r="O9" s="54">
        <f>SUM(D9,D14,D16,D17,D19,D22,D26,D32)</f>
        <v>3912.9107173166667</v>
      </c>
      <c r="P9" s="54">
        <f>SUM(E9,E14,E16,E17,E19,E22,E26,E32)</f>
        <v>4141.7937576605345</v>
      </c>
      <c r="Q9" s="54">
        <f>SUM(G9,G14,G16,G17,G19,G22,G26,G32)</f>
        <v>19413.954352983332</v>
      </c>
      <c r="R9" s="54">
        <f>SUM(H9,H14,H16,H17,H19,H22,H26,H32)</f>
        <v>20864.903214340942</v>
      </c>
    </row>
    <row r="10" spans="3:19" ht="20.100000000000001" customHeight="1">
      <c r="C10" s="97" t="s">
        <v>19</v>
      </c>
      <c r="D10" s="193">
        <v>3.8636300000000006</v>
      </c>
      <c r="E10" s="247">
        <v>4.1092524999999993</v>
      </c>
      <c r="F10" s="195">
        <f t="shared" si="0"/>
        <v>6.357298706139014E-2</v>
      </c>
      <c r="G10" s="294">
        <v>22.303246999999999</v>
      </c>
      <c r="H10" s="270">
        <v>20.546262499999997</v>
      </c>
      <c r="I10" s="195">
        <f t="shared" si="1"/>
        <v>-7.8777072235266976E-2</v>
      </c>
      <c r="J10" s="16"/>
      <c r="K10" s="35"/>
      <c r="L10" s="35"/>
      <c r="N10" s="41" t="s">
        <v>12</v>
      </c>
      <c r="O10" s="54">
        <f>SUM(D10,D11,D12,D15,D18,D24,D25,D28,D30)</f>
        <v>592.03564022166665</v>
      </c>
      <c r="P10" s="54">
        <f>SUM(E10,E11,E12,E15,E18,E24,E25,E28,E30)</f>
        <v>638.32187420837283</v>
      </c>
      <c r="Q10" s="54">
        <f>SUM(G10,G11,G12,G15,G18,G24,G25,G28,G30)</f>
        <v>3134.1808427808337</v>
      </c>
      <c r="R10" s="54">
        <f>SUM(H10,H11,H12,H15,H18,H24,H25,H28,H30)</f>
        <v>3111.2962371772401</v>
      </c>
    </row>
    <row r="11" spans="3:19" ht="20.100000000000001" customHeight="1">
      <c r="C11" s="96" t="s">
        <v>20</v>
      </c>
      <c r="D11" s="193">
        <v>91.336431099999999</v>
      </c>
      <c r="E11" s="247">
        <v>91.539090917622474</v>
      </c>
      <c r="F11" s="359">
        <f t="shared" si="0"/>
        <v>2.2188278563304298E-3</v>
      </c>
      <c r="G11" s="207">
        <v>475.83489149999997</v>
      </c>
      <c r="H11" s="247">
        <v>443.49881557148996</v>
      </c>
      <c r="I11" s="195">
        <f t="shared" si="1"/>
        <v>-6.7956504464343204E-2</v>
      </c>
      <c r="J11" s="16"/>
      <c r="K11" s="35"/>
      <c r="L11" s="35"/>
      <c r="N11" s="275" t="s">
        <v>11</v>
      </c>
      <c r="O11" s="54">
        <f>D23</f>
        <v>34.497166733333316</v>
      </c>
      <c r="P11" s="54">
        <f>E23</f>
        <v>32.847782176139937</v>
      </c>
      <c r="Q11" s="54">
        <f>G23</f>
        <v>172.08080666666666</v>
      </c>
      <c r="R11" s="54">
        <f>H23</f>
        <v>164.00599517613995</v>
      </c>
    </row>
    <row r="12" spans="3:19" ht="20.100000000000001" customHeight="1">
      <c r="C12" s="96" t="s">
        <v>21</v>
      </c>
      <c r="D12" s="295">
        <v>0.9063230000000001</v>
      </c>
      <c r="E12" s="270">
        <v>1.0290213333333333</v>
      </c>
      <c r="F12" s="195">
        <f t="shared" si="0"/>
        <v>0.13538035924646419</v>
      </c>
      <c r="G12" s="294">
        <v>4.6396099999999993</v>
      </c>
      <c r="H12" s="270">
        <v>5.1830973333333334</v>
      </c>
      <c r="I12" s="195">
        <f t="shared" si="1"/>
        <v>0.11714073668548308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146.59225320000004</v>
      </c>
      <c r="E13" s="247">
        <v>153.62663707499993</v>
      </c>
      <c r="F13" s="195">
        <f t="shared" si="0"/>
        <v>4.7986054661447008E-2</v>
      </c>
      <c r="G13" s="207">
        <v>714.66748200000006</v>
      </c>
      <c r="H13" s="247">
        <v>688.25721056999998</v>
      </c>
      <c r="I13" s="195">
        <f t="shared" si="1"/>
        <v>-3.6954628684225055E-2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321.80806466666667</v>
      </c>
      <c r="E14" s="247">
        <v>212.43062010816243</v>
      </c>
      <c r="F14" s="195">
        <f t="shared" si="0"/>
        <v>-0.33988410039319228</v>
      </c>
      <c r="G14" s="207">
        <v>1128.7350073333337</v>
      </c>
      <c r="H14" s="247">
        <v>1090.259294619508</v>
      </c>
      <c r="I14" s="195">
        <f t="shared" si="1"/>
        <v>-3.4087462924292211E-2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199.90181806666666</v>
      </c>
      <c r="E15" s="247">
        <v>198.87328368176637</v>
      </c>
      <c r="F15" s="195">
        <f t="shared" si="0"/>
        <v>-5.1451977518147674E-3</v>
      </c>
      <c r="G15" s="207">
        <v>971.18192233333343</v>
      </c>
      <c r="H15" s="247">
        <v>980.23787282426645</v>
      </c>
      <c r="I15" s="195">
        <f t="shared" si="1"/>
        <v>9.3246695420106107E-3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891.31249219999995</v>
      </c>
      <c r="E16" s="247">
        <v>749.663808870514</v>
      </c>
      <c r="F16" s="195">
        <f t="shared" si="0"/>
        <v>-0.15892146084462333</v>
      </c>
      <c r="G16" s="207">
        <v>4524.9077712000008</v>
      </c>
      <c r="H16" s="247">
        <v>4128.9088230305142</v>
      </c>
      <c r="I16" s="195">
        <f t="shared" si="1"/>
        <v>-8.7515363448936734E-2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189.84223313333334</v>
      </c>
      <c r="E17" s="247">
        <v>221.13503062000018</v>
      </c>
      <c r="F17" s="195">
        <f t="shared" si="0"/>
        <v>0.16483580586986002</v>
      </c>
      <c r="G17" s="207">
        <v>1373.8676836666668</v>
      </c>
      <c r="H17" s="247">
        <v>1394.5998520794001</v>
      </c>
      <c r="I17" s="195">
        <f t="shared" si="1"/>
        <v>1.5090367623614265E-2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144.5909700666667</v>
      </c>
      <c r="E18" s="247">
        <v>177.758541025</v>
      </c>
      <c r="F18" s="195">
        <f t="shared" si="0"/>
        <v>0.2293889510737821</v>
      </c>
      <c r="G18" s="207">
        <v>740.34549833333335</v>
      </c>
      <c r="H18" s="247">
        <v>770.98163475999991</v>
      </c>
      <c r="I18" s="195">
        <f t="shared" si="1"/>
        <v>4.1380864063649492E-2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299.81242046666665</v>
      </c>
      <c r="E19" s="247">
        <v>292.41684813393374</v>
      </c>
      <c r="F19" s="195">
        <f t="shared" si="0"/>
        <v>-2.466733139748345E-2</v>
      </c>
      <c r="G19" s="360">
        <v>1642.3766933333332</v>
      </c>
      <c r="H19" s="361">
        <v>1642.3650642164339</v>
      </c>
      <c r="I19" s="362">
        <f t="shared" si="1"/>
        <v>-7.0806636178755156E-6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66.055606465133948</v>
      </c>
      <c r="E20" s="247">
        <v>95.423867279999982</v>
      </c>
      <c r="F20" s="195">
        <f t="shared" si="0"/>
        <v>0.44459906412890859</v>
      </c>
      <c r="G20" s="207">
        <v>279.6954333256698</v>
      </c>
      <c r="H20" s="247">
        <v>295.29074341728568</v>
      </c>
      <c r="I20" s="195">
        <f t="shared" si="1"/>
        <v>5.5758186346421823E-2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5.6839592666666672</v>
      </c>
      <c r="E21" s="247">
        <v>4.8029895575385604</v>
      </c>
      <c r="F21" s="195">
        <f t="shared" si="0"/>
        <v>-0.15499226292744839</v>
      </c>
      <c r="G21" s="207">
        <v>28.452653333333334</v>
      </c>
      <c r="H21" s="247">
        <v>30.078172115038555</v>
      </c>
      <c r="I21" s="195">
        <f t="shared" si="1"/>
        <v>5.7130657118746209E-2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1928.5026338166667</v>
      </c>
      <c r="E22" s="247">
        <v>2395.2455420041661</v>
      </c>
      <c r="F22" s="195">
        <f t="shared" si="0"/>
        <v>0.24202347458752316</v>
      </c>
      <c r="G22" s="207">
        <v>9029.6861142833332</v>
      </c>
      <c r="H22" s="247">
        <v>11081.539353777231</v>
      </c>
      <c r="I22" s="195">
        <f t="shared" si="1"/>
        <v>0.22723417110238597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34.497166733333316</v>
      </c>
      <c r="E23" s="247">
        <v>32.847782176139937</v>
      </c>
      <c r="F23" s="195">
        <f t="shared" si="0"/>
        <v>-4.7812174545906694E-2</v>
      </c>
      <c r="G23" s="207">
        <v>172.08080666666666</v>
      </c>
      <c r="H23" s="247">
        <v>164.00599517613995</v>
      </c>
      <c r="I23" s="195">
        <f t="shared" si="1"/>
        <v>-4.6924532996688195E-2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5">
        <v>9.2838000000000004E-2</v>
      </c>
      <c r="E24" s="270">
        <v>0.38408712500000008</v>
      </c>
      <c r="F24" s="195">
        <f t="shared" si="0"/>
        <v>3.1371757793145054</v>
      </c>
      <c r="G24" s="294">
        <v>0.60919900000000005</v>
      </c>
      <c r="H24" s="270">
        <v>0.95650001000000018</v>
      </c>
      <c r="I24" s="195">
        <f t="shared" si="1"/>
        <v>0.57009451755501916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53.822797333333327</v>
      </c>
      <c r="E25" s="247">
        <v>58.240033697499989</v>
      </c>
      <c r="F25" s="195">
        <f t="shared" si="0"/>
        <v>8.2069988611145561E-2</v>
      </c>
      <c r="G25" s="207">
        <v>284.6513526666667</v>
      </c>
      <c r="H25" s="247">
        <v>278.25569665749993</v>
      </c>
      <c r="I25" s="195">
        <f t="shared" si="1"/>
        <v>-2.2468384391119423E-2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72.318049000000002</v>
      </c>
      <c r="E26" s="247">
        <v>73.616030487499984</v>
      </c>
      <c r="F26" s="195">
        <f t="shared" si="0"/>
        <v>1.794823706458093E-2</v>
      </c>
      <c r="G26" s="207">
        <v>439.89460099999997</v>
      </c>
      <c r="H26" s="247">
        <v>431.64080796250005</v>
      </c>
      <c r="I26" s="195">
        <f t="shared" si="1"/>
        <v>-1.8763115116068318E-2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157.18802394833867</v>
      </c>
      <c r="E27" s="247">
        <v>139.46351864951549</v>
      </c>
      <c r="F27" s="195">
        <f t="shared" si="0"/>
        <v>-0.1127598964196439</v>
      </c>
      <c r="G27" s="207">
        <v>614.45568674169328</v>
      </c>
      <c r="H27" s="247">
        <v>626.13805855701548</v>
      </c>
      <c r="I27" s="195">
        <f t="shared" si="1"/>
        <v>1.9012553821856404E-2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3">
        <v>84.650966655000005</v>
      </c>
      <c r="E28" s="247">
        <v>98.377931991666614</v>
      </c>
      <c r="F28" s="195">
        <f t="shared" si="0"/>
        <v>0.16215958162192834</v>
      </c>
      <c r="G28" s="207">
        <v>568.61252994749998</v>
      </c>
      <c r="H28" s="247">
        <v>567.76142119166673</v>
      </c>
      <c r="I28" s="359">
        <f t="shared" si="1"/>
        <v>-1.4968167442807045E-3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5.0357850000000006</v>
      </c>
      <c r="E29" s="247">
        <v>5.1812083333333332</v>
      </c>
      <c r="F29" s="195">
        <f t="shared" si="0"/>
        <v>2.8877986914320752E-2</v>
      </c>
      <c r="G29" s="207">
        <v>23.279108000000001</v>
      </c>
      <c r="H29" s="247">
        <v>23.83549133333333</v>
      </c>
      <c r="I29" s="195">
        <f t="shared" si="1"/>
        <v>2.3900543497342275E-2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12.869866000000002</v>
      </c>
      <c r="E30" s="247">
        <v>8.010631936484069</v>
      </c>
      <c r="F30" s="195">
        <f t="shared" si="0"/>
        <v>-0.37756679545194427</v>
      </c>
      <c r="G30" s="207">
        <v>66.002592000000007</v>
      </c>
      <c r="H30" s="247">
        <v>43.874936328984063</v>
      </c>
      <c r="I30" s="195">
        <f t="shared" si="1"/>
        <v>-0.33525434381449659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1.1005480000000003</v>
      </c>
      <c r="E31" s="247">
        <v>1.1005480000000001</v>
      </c>
      <c r="F31" s="195">
        <f>+E31/D31-1</f>
        <v>0</v>
      </c>
      <c r="G31" s="207">
        <v>5.502740000000002</v>
      </c>
      <c r="H31" s="247">
        <v>5.5027400000000002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11.300226333333335</v>
      </c>
      <c r="E32" s="248">
        <v>34.906221680000002</v>
      </c>
      <c r="F32" s="196">
        <f t="shared" si="0"/>
        <v>2.0889842955652891</v>
      </c>
      <c r="G32" s="208">
        <v>48.241784666666668</v>
      </c>
      <c r="H32" s="248">
        <v>97.129798485000009</v>
      </c>
      <c r="I32" s="196">
        <f t="shared" si="1"/>
        <v>1.0133956311138133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4925.2317861518068</v>
      </c>
      <c r="E33" s="249">
        <f>SUM(E8:E32)</f>
        <v>5215.5091760246005</v>
      </c>
      <c r="F33" s="94">
        <f>+E33/D33-1</f>
        <v>5.8936797794768125E-2</v>
      </c>
      <c r="G33" s="209">
        <f>SUM(G8:G32)</f>
        <v>24406.289649831528</v>
      </c>
      <c r="H33" s="249">
        <f>SUM(H8:H32)</f>
        <v>25823.864570781159</v>
      </c>
      <c r="I33" s="210">
        <f>+H33/G33-1</f>
        <v>5.8082360788478837E-2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6" t="s">
        <v>45</v>
      </c>
    </row>
    <row r="44" spans="3:19">
      <c r="C44" s="15"/>
      <c r="N44" s="39" t="s">
        <v>30</v>
      </c>
      <c r="O44" s="40">
        <v>2395.2455420041661</v>
      </c>
      <c r="S44" s="36"/>
    </row>
    <row r="45" spans="3:19">
      <c r="C45" s="15"/>
      <c r="N45" s="39" t="s">
        <v>24</v>
      </c>
      <c r="O45" s="40">
        <v>749.663808870514</v>
      </c>
      <c r="S45" s="36"/>
    </row>
    <row r="46" spans="3:19">
      <c r="C46" s="15"/>
      <c r="N46" s="39" t="s">
        <v>27</v>
      </c>
      <c r="O46" s="40">
        <v>292.41684813393374</v>
      </c>
      <c r="S46" s="36"/>
    </row>
    <row r="47" spans="3:19">
      <c r="N47" s="39" t="s">
        <v>25</v>
      </c>
      <c r="O47" s="40">
        <v>221.13503062000018</v>
      </c>
      <c r="S47" s="36"/>
    </row>
    <row r="48" spans="3:19">
      <c r="N48" s="39" t="s">
        <v>59</v>
      </c>
      <c r="O48" s="40">
        <v>212.43062010816243</v>
      </c>
      <c r="S48" s="36"/>
    </row>
    <row r="49" spans="14:19">
      <c r="N49" s="39" t="s">
        <v>23</v>
      </c>
      <c r="O49" s="40">
        <v>198.87328368176637</v>
      </c>
      <c r="S49" s="36"/>
    </row>
    <row r="50" spans="14:19">
      <c r="N50" s="39" t="s">
        <v>26</v>
      </c>
      <c r="O50" s="40">
        <v>177.758541025</v>
      </c>
      <c r="S50" s="36"/>
    </row>
    <row r="51" spans="14:19">
      <c r="N51" s="39" t="s">
        <v>18</v>
      </c>
      <c r="O51" s="40">
        <v>162.37965575625793</v>
      </c>
      <c r="S51" s="99"/>
    </row>
    <row r="52" spans="14:19">
      <c r="N52" s="39" t="s">
        <v>22</v>
      </c>
      <c r="O52" s="40">
        <v>153.62663707499993</v>
      </c>
      <c r="S52" s="36"/>
    </row>
    <row r="53" spans="14:19">
      <c r="N53" s="39" t="s">
        <v>35</v>
      </c>
      <c r="O53" s="40">
        <v>139.46351864951549</v>
      </c>
      <c r="S53" s="36"/>
    </row>
    <row r="54" spans="14:19">
      <c r="N54" s="39" t="s">
        <v>36</v>
      </c>
      <c r="O54" s="40">
        <v>98.377931991666614</v>
      </c>
      <c r="S54" s="36"/>
    </row>
    <row r="55" spans="14:19">
      <c r="N55" s="39" t="s">
        <v>28</v>
      </c>
      <c r="O55" s="40">
        <v>95.423867279999982</v>
      </c>
      <c r="S55" s="36"/>
    </row>
    <row r="56" spans="14:19">
      <c r="N56" s="39" t="s">
        <v>20</v>
      </c>
      <c r="O56" s="40">
        <v>91.539090917622474</v>
      </c>
      <c r="S56" s="36"/>
    </row>
    <row r="57" spans="14:19">
      <c r="N57" s="39" t="s">
        <v>34</v>
      </c>
      <c r="O57" s="40">
        <v>73.616030487499984</v>
      </c>
      <c r="S57" s="36"/>
    </row>
    <row r="58" spans="14:19">
      <c r="N58" s="39" t="s">
        <v>33</v>
      </c>
      <c r="O58" s="40">
        <v>58.240033697499989</v>
      </c>
      <c r="S58" s="36"/>
    </row>
    <row r="59" spans="14:19">
      <c r="N59" s="39" t="s">
        <v>40</v>
      </c>
      <c r="O59" s="40">
        <v>34.906221680000002</v>
      </c>
      <c r="S59" s="36"/>
    </row>
    <row r="60" spans="14:19">
      <c r="N60" s="39" t="s">
        <v>31</v>
      </c>
      <c r="O60" s="40">
        <v>32.847782176139937</v>
      </c>
      <c r="S60" s="36"/>
    </row>
    <row r="61" spans="14:19">
      <c r="N61" s="39" t="s">
        <v>38</v>
      </c>
      <c r="O61" s="40">
        <v>8.010631936484069</v>
      </c>
      <c r="S61" s="36"/>
    </row>
    <row r="62" spans="14:19">
      <c r="N62" s="39" t="s">
        <v>37</v>
      </c>
      <c r="O62" s="40">
        <v>5.1812083333333332</v>
      </c>
      <c r="S62" s="36"/>
    </row>
    <row r="63" spans="14:19">
      <c r="N63" s="39" t="s">
        <v>29</v>
      </c>
      <c r="O63" s="40">
        <v>4.8029895575385604</v>
      </c>
      <c r="S63" s="36"/>
    </row>
    <row r="64" spans="14:19">
      <c r="N64" s="39" t="s">
        <v>19</v>
      </c>
      <c r="O64" s="40">
        <v>4.1092524999999993</v>
      </c>
      <c r="S64" s="36"/>
    </row>
    <row r="65" spans="6:19">
      <c r="N65" s="39" t="s">
        <v>17</v>
      </c>
      <c r="O65" s="40">
        <v>2.9469930841649115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1.0290213333333333</v>
      </c>
      <c r="S67" s="36"/>
    </row>
    <row r="68" spans="6:19">
      <c r="N68" t="s">
        <v>32</v>
      </c>
      <c r="O68" s="40">
        <v>0.38408712500000008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2023-07-02T06:06:47Z</dcterms:modified>
</cp:coreProperties>
</file>